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Human Resources\LABOR\1 (CAW) AFSCME Water Maint\Salary Schedules\"/>
    </mc:Choice>
  </mc:AlternateContent>
  <xr:revisionPtr revIDLastSave="0" documentId="8_{20FDD6BA-EE2B-42FE-8E8D-70429BB17C40}" xr6:coauthVersionLast="47" xr6:coauthVersionMax="47" xr10:uidLastSave="{00000000-0000-0000-0000-000000000000}"/>
  <workbookProtection lockStructure="1"/>
  <bookViews>
    <workbookView xWindow="-120" yWindow="-120" windowWidth="29040" windowHeight="15720" firstSheet="5" activeTab="7" xr2:uid="{00000000-000D-0000-FFFF-FFFF00000000}"/>
  </bookViews>
  <sheets>
    <sheet name="February 2018" sheetId="1" state="hidden" r:id="rId1"/>
    <sheet name="October 2019" sheetId="2" state="hidden" r:id="rId2"/>
    <sheet name="May 2020" sheetId="4" state="hidden" r:id="rId3"/>
    <sheet name="March 2021" sheetId="6" state="hidden" r:id="rId4"/>
    <sheet name="March 2022" sheetId="7" state="hidden" r:id="rId5"/>
    <sheet name="January 2023" sheetId="8" r:id="rId6"/>
    <sheet name="January 2024" sheetId="9" r:id="rId7"/>
    <sheet name="January 2025" sheetId="10" r:id="rId8"/>
    <sheet name="Notes" sheetId="3" state="hidden" r:id="rId9"/>
  </sheets>
  <externalReferences>
    <externalReference r:id="rId10"/>
  </externalReferences>
  <definedNames>
    <definedName name="BaseIncrPerc2020">'May 2020'!$P$1</definedName>
    <definedName name="BaseIncrPerc2021">'March 2021'!$P$1</definedName>
    <definedName name="BaseIncrPerc2022">'March 2022'!$P$1</definedName>
    <definedName name="BaseIncrPerc2023">'January 2023'!$P$2</definedName>
    <definedName name="BaseIncrPerc2024">'January 2024'!$P$2</definedName>
    <definedName name="BaseIncrPerc2025">'January 2025'!$P$2</definedName>
    <definedName name="DataJan2023">'January 2023'!$P$7:$V$43</definedName>
    <definedName name="DataJan2024">'January 2024'!$P$7:$V$46</definedName>
    <definedName name="DataMar2021">'March 2021'!$O$1:$T$49</definedName>
    <definedName name="DataMarch2022">'March 2022'!$P$5:$V$90</definedName>
    <definedName name="LeakLocaterPrem2">'January 2023'!$R$2</definedName>
    <definedName name="LeakLocaterPremium">'January 2023'!$P$5</definedName>
    <definedName name="ShiftIncrPerc2020">'May 2020'!$P$2</definedName>
    <definedName name="ShiftIncrPerc2020v2">'May 2020'!$P$3</definedName>
    <definedName name="ShiftIncrPerc2021">'March 2021'!$P$2</definedName>
    <definedName name="ShiftIncrPerc2021v2">'March 2021'!$P$3</definedName>
    <definedName name="ShiftIncrPerc2022">'March 2022'!$P$2</definedName>
    <definedName name="ShiftIncrPerc2022v2">'March 2022'!$P$3</definedName>
    <definedName name="ShoePremium">'January 2023'!$P$4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9" i="9" l="1"/>
  <c r="AF9" i="9"/>
  <c r="AG9" i="9"/>
  <c r="AK9" i="9" s="1"/>
  <c r="AH9" i="9"/>
  <c r="AL9" i="9" s="1"/>
  <c r="AE10" i="9"/>
  <c r="AF10" i="9"/>
  <c r="AG10" i="9"/>
  <c r="AH10" i="9"/>
  <c r="AE11" i="9"/>
  <c r="AI11" i="9" s="1"/>
  <c r="AF11" i="9"/>
  <c r="AJ11" i="9" s="1"/>
  <c r="AG11" i="9"/>
  <c r="AK11" i="9" s="1"/>
  <c r="AH11" i="9"/>
  <c r="AL11" i="9" s="1"/>
  <c r="AE12" i="9"/>
  <c r="AF12" i="9"/>
  <c r="AG12" i="9"/>
  <c r="AH12" i="9"/>
  <c r="AH8" i="9"/>
  <c r="AG8" i="9"/>
  <c r="AF8" i="9"/>
  <c r="AE8" i="9"/>
  <c r="X35" i="10" l="1"/>
  <c r="Y35" i="10"/>
  <c r="X36" i="9"/>
  <c r="Y36" i="9"/>
  <c r="R10" i="10"/>
  <c r="Z10" i="10" s="1"/>
  <c r="Q10" i="10"/>
  <c r="Y10" i="10" s="1"/>
  <c r="J11" i="9"/>
  <c r="K11" i="9"/>
  <c r="L11" i="9"/>
  <c r="M11" i="9"/>
  <c r="Y11" i="9"/>
  <c r="Q11" i="9"/>
  <c r="R11" i="9"/>
  <c r="Z11" i="9" s="1"/>
  <c r="X35" i="8"/>
  <c r="Y35" i="8"/>
  <c r="B3" i="10"/>
  <c r="B3" i="8"/>
  <c r="B3" i="9"/>
  <c r="Y42" i="10"/>
  <c r="X42" i="10"/>
  <c r="Y41" i="10"/>
  <c r="X41" i="10"/>
  <c r="Y40" i="10"/>
  <c r="X40" i="10"/>
  <c r="Y39" i="10"/>
  <c r="X39" i="10"/>
  <c r="Y38" i="10"/>
  <c r="X38" i="10"/>
  <c r="Y34" i="10"/>
  <c r="X34" i="10"/>
  <c r="Y33" i="10"/>
  <c r="X33" i="10"/>
  <c r="Y30" i="10"/>
  <c r="X30" i="10"/>
  <c r="Y29" i="10"/>
  <c r="X29" i="10"/>
  <c r="Y28" i="10"/>
  <c r="X28" i="10"/>
  <c r="AA24" i="10"/>
  <c r="X24" i="10"/>
  <c r="B24" i="10"/>
  <c r="X20" i="10"/>
  <c r="X19" i="10"/>
  <c r="X18" i="10"/>
  <c r="X17" i="10"/>
  <c r="R11" i="10"/>
  <c r="Z11" i="10" s="1"/>
  <c r="Q11" i="10"/>
  <c r="Y11" i="10" s="1"/>
  <c r="P11" i="10"/>
  <c r="X11" i="10" s="1"/>
  <c r="R9" i="10"/>
  <c r="Z9" i="10" s="1"/>
  <c r="Q9" i="10"/>
  <c r="Y9" i="10" s="1"/>
  <c r="P9" i="10"/>
  <c r="X9" i="10" s="1"/>
  <c r="R8" i="10"/>
  <c r="Z8" i="10" s="1"/>
  <c r="Q8" i="10"/>
  <c r="Y8" i="10" s="1"/>
  <c r="P8" i="10"/>
  <c r="X8" i="10" s="1"/>
  <c r="Y43" i="9"/>
  <c r="X43" i="9"/>
  <c r="Y42" i="9"/>
  <c r="X42" i="9"/>
  <c r="Y41" i="9"/>
  <c r="X41" i="9"/>
  <c r="Y40" i="9"/>
  <c r="X40" i="9"/>
  <c r="Y39" i="9"/>
  <c r="X39" i="9"/>
  <c r="Y35" i="9"/>
  <c r="X35" i="9"/>
  <c r="Y34" i="9"/>
  <c r="X34" i="9"/>
  <c r="Y31" i="9"/>
  <c r="X31" i="9"/>
  <c r="Y30" i="9"/>
  <c r="X30" i="9"/>
  <c r="Y29" i="9"/>
  <c r="X29" i="9"/>
  <c r="AA25" i="9"/>
  <c r="X25" i="9"/>
  <c r="B25" i="9"/>
  <c r="X21" i="9"/>
  <c r="X20" i="9"/>
  <c r="X19" i="9"/>
  <c r="X18" i="9"/>
  <c r="R12" i="9"/>
  <c r="Z12" i="9" s="1"/>
  <c r="Q12" i="9"/>
  <c r="Y12" i="9" s="1"/>
  <c r="P12" i="9"/>
  <c r="X12" i="9" s="1"/>
  <c r="R10" i="9"/>
  <c r="Z10" i="9" s="1"/>
  <c r="Q10" i="9"/>
  <c r="Y10" i="9" s="1"/>
  <c r="P10" i="9"/>
  <c r="X10" i="9" s="1"/>
  <c r="R9" i="9"/>
  <c r="Z9" i="9" s="1"/>
  <c r="Q9" i="9"/>
  <c r="Y9" i="9" s="1"/>
  <c r="P9" i="9"/>
  <c r="X9" i="9" s="1"/>
  <c r="R8" i="9"/>
  <c r="Z8" i="9" s="1"/>
  <c r="Q8" i="9"/>
  <c r="Y8" i="9" s="1"/>
  <c r="P8" i="9"/>
  <c r="X8" i="9" s="1"/>
  <c r="B42" i="8"/>
  <c r="B24" i="8"/>
  <c r="V10" i="10" a="1"/>
  <c r="U10" i="10" a="1"/>
  <c r="T10" i="10" a="1"/>
  <c r="S10" i="10" a="1"/>
  <c r="S10" i="10" l="1"/>
  <c r="U10" i="10"/>
  <c r="T10" i="10"/>
  <c r="V10" i="10"/>
  <c r="AC11" i="9"/>
  <c r="AD11" i="9"/>
  <c r="AB11" i="9"/>
  <c r="AA11" i="9"/>
  <c r="AA42" i="8"/>
  <c r="Y42" i="8"/>
  <c r="X42" i="8"/>
  <c r="Y41" i="8"/>
  <c r="X41" i="8"/>
  <c r="Y40" i="8"/>
  <c r="X40" i="8"/>
  <c r="Y39" i="8"/>
  <c r="X39" i="8"/>
  <c r="Y38" i="8"/>
  <c r="X38" i="8"/>
  <c r="Y34" i="8"/>
  <c r="X34" i="8"/>
  <c r="Y33" i="8"/>
  <c r="X33" i="8"/>
  <c r="L10" i="10" l="1"/>
  <c r="AC10" i="10"/>
  <c r="M10" i="10"/>
  <c r="AD10" i="10"/>
  <c r="J10" i="10"/>
  <c r="AA10" i="10"/>
  <c r="K10" i="10"/>
  <c r="AB10" i="10"/>
  <c r="Y30" i="8"/>
  <c r="X30" i="8"/>
  <c r="Y29" i="8"/>
  <c r="X29" i="8"/>
  <c r="Y28" i="8"/>
  <c r="X28" i="8"/>
  <c r="X24" i="8"/>
  <c r="X20" i="8"/>
  <c r="X19" i="8"/>
  <c r="X18" i="8"/>
  <c r="X17" i="8"/>
  <c r="R11" i="8"/>
  <c r="Z11" i="8" s="1"/>
  <c r="Q11" i="8"/>
  <c r="Y11" i="8" s="1"/>
  <c r="P11" i="8"/>
  <c r="X11" i="8" s="1"/>
  <c r="R10" i="8"/>
  <c r="Z10" i="8" s="1"/>
  <c r="Q10" i="8"/>
  <c r="Y10" i="8" s="1"/>
  <c r="P10" i="8"/>
  <c r="X10" i="8" s="1"/>
  <c r="R9" i="8"/>
  <c r="Z9" i="8" s="1"/>
  <c r="Q9" i="8"/>
  <c r="Y9" i="8" s="1"/>
  <c r="P9" i="8"/>
  <c r="X9" i="8" s="1"/>
  <c r="R8" i="8"/>
  <c r="Z8" i="8" s="1"/>
  <c r="Q8" i="8"/>
  <c r="Y8" i="8" s="1"/>
  <c r="P8" i="8"/>
  <c r="S39" i="9" a="1"/>
  <c r="S43" i="9" a="1"/>
  <c r="S43" i="9" l="1"/>
  <c r="S39" i="9"/>
  <c r="X8" i="8"/>
  <c r="Y48" i="7"/>
  <c r="X48" i="7"/>
  <c r="Y44" i="7"/>
  <c r="X44" i="7"/>
  <c r="Y40" i="7"/>
  <c r="X40" i="7"/>
  <c r="Y39" i="7"/>
  <c r="X39" i="7"/>
  <c r="Y38" i="7"/>
  <c r="X38" i="7"/>
  <c r="Y30" i="7"/>
  <c r="Y31" i="7"/>
  <c r="Y32" i="7"/>
  <c r="Y33" i="7"/>
  <c r="Y34" i="7"/>
  <c r="X34" i="7"/>
  <c r="X33" i="7"/>
  <c r="X32" i="7"/>
  <c r="X31" i="7"/>
  <c r="X30" i="7"/>
  <c r="X26" i="7"/>
  <c r="X20" i="7"/>
  <c r="X21" i="7"/>
  <c r="X22" i="7"/>
  <c r="X19" i="7"/>
  <c r="S42" i="10" a="1"/>
  <c r="S38" i="10" a="1"/>
  <c r="S38" i="10" l="1"/>
  <c r="S42" i="10"/>
  <c r="AA39" i="9"/>
  <c r="B39" i="9"/>
  <c r="B43" i="9"/>
  <c r="AA43" i="9"/>
  <c r="Q48" i="6"/>
  <c r="B48" i="6" s="1"/>
  <c r="AA42" i="10" l="1"/>
  <c r="B42" i="10"/>
  <c r="B38" i="10"/>
  <c r="AA38" i="10"/>
  <c r="Q26" i="6"/>
  <c r="P7" i="7"/>
  <c r="X7" i="7" s="1"/>
  <c r="Q7" i="7"/>
  <c r="Y7" i="7" s="1"/>
  <c r="R7" i="7"/>
  <c r="Z7" i="7" s="1"/>
  <c r="P8" i="7"/>
  <c r="X8" i="7" s="1"/>
  <c r="Q8" i="7"/>
  <c r="Y8" i="7" s="1"/>
  <c r="R8" i="7"/>
  <c r="Z8" i="7" s="1"/>
  <c r="P9" i="7"/>
  <c r="X9" i="7" s="1"/>
  <c r="Q9" i="7"/>
  <c r="Y9" i="7" s="1"/>
  <c r="R9" i="7"/>
  <c r="Z9" i="7" s="1"/>
  <c r="P10" i="7"/>
  <c r="X10" i="7" s="1"/>
  <c r="Q10" i="7"/>
  <c r="Y10" i="7" s="1"/>
  <c r="R10" i="7"/>
  <c r="Z10" i="7" s="1"/>
  <c r="P11" i="7"/>
  <c r="X11" i="7" s="1"/>
  <c r="Q11" i="7"/>
  <c r="Y11" i="7" s="1"/>
  <c r="R11" i="7"/>
  <c r="Z11" i="7" s="1"/>
  <c r="P12" i="7"/>
  <c r="X12" i="7" s="1"/>
  <c r="Q12" i="7"/>
  <c r="Y12" i="7" s="1"/>
  <c r="R12" i="7"/>
  <c r="Z12" i="7" s="1"/>
  <c r="P13" i="7"/>
  <c r="X13" i="7" s="1"/>
  <c r="Q13" i="7"/>
  <c r="Y13" i="7" s="1"/>
  <c r="R13" i="7"/>
  <c r="Z13" i="7" s="1"/>
  <c r="O7" i="6"/>
  <c r="P7" i="6"/>
  <c r="O8" i="6"/>
  <c r="P8" i="6"/>
  <c r="O9" i="6"/>
  <c r="P9" i="6"/>
  <c r="O10" i="6"/>
  <c r="P10" i="6"/>
  <c r="O11" i="6"/>
  <c r="P11" i="6"/>
  <c r="O12" i="6"/>
  <c r="P12" i="6"/>
  <c r="O13" i="6"/>
  <c r="P13" i="6"/>
  <c r="P6" i="6"/>
  <c r="O6" i="6"/>
  <c r="R6" i="7"/>
  <c r="Z6" i="7" s="1"/>
  <c r="Q6" i="7"/>
  <c r="Y6" i="7" s="1"/>
  <c r="P6" i="7"/>
  <c r="X6" i="7" s="1"/>
  <c r="S26" i="7" a="1"/>
  <c r="S26" i="7" l="1"/>
  <c r="J6" i="4"/>
  <c r="K6" i="4"/>
  <c r="L6" i="4"/>
  <c r="M6" i="4"/>
  <c r="AA26" i="7" l="1"/>
  <c r="F27" i="2"/>
  <c r="O26" i="4" s="1"/>
  <c r="G26" i="4" s="1"/>
  <c r="G26" i="7" s="1"/>
  <c r="J7" i="4"/>
  <c r="J7" i="6" s="1"/>
  <c r="M6" i="6"/>
  <c r="L6" i="6"/>
  <c r="K6" i="6"/>
  <c r="J6" i="6"/>
  <c r="N49" i="2"/>
  <c r="N45" i="2"/>
  <c r="O44" i="4" s="1"/>
  <c r="B44" i="4" s="1"/>
  <c r="N40" i="2"/>
  <c r="O39" i="4" s="1"/>
  <c r="B39" i="4" s="1"/>
  <c r="N41" i="2"/>
  <c r="O40" i="4" s="1"/>
  <c r="Q40" i="6" s="1"/>
  <c r="N39" i="2"/>
  <c r="O38" i="4" s="1"/>
  <c r="B38" i="4" s="1"/>
  <c r="N32" i="2"/>
  <c r="O31" i="4" s="1"/>
  <c r="B31" i="4" s="1"/>
  <c r="N33" i="2"/>
  <c r="O32" i="4" s="1"/>
  <c r="B32" i="4" s="1"/>
  <c r="N34" i="2"/>
  <c r="O33" i="4" s="1"/>
  <c r="N35" i="2"/>
  <c r="O34" i="4" s="1"/>
  <c r="N31" i="2"/>
  <c r="O30" i="4" s="1"/>
  <c r="B30" i="4" s="1"/>
  <c r="S48" i="7" a="1"/>
  <c r="S40" i="7" a="1"/>
  <c r="AA24" i="8" l="1"/>
  <c r="Q33" i="6"/>
  <c r="B34" i="4"/>
  <c r="Q34" i="6"/>
  <c r="L6" i="7"/>
  <c r="S6" i="6"/>
  <c r="M6" i="7"/>
  <c r="T6" i="6"/>
  <c r="J7" i="7"/>
  <c r="Q7" i="6"/>
  <c r="J6" i="7"/>
  <c r="Q6" i="6"/>
  <c r="K6" i="7"/>
  <c r="R6" i="6"/>
  <c r="S48" i="7"/>
  <c r="S40" i="7"/>
  <c r="B48" i="4"/>
  <c r="B40" i="6"/>
  <c r="B33" i="4"/>
  <c r="B40" i="4"/>
  <c r="Q30" i="6"/>
  <c r="Q31" i="6"/>
  <c r="Q32" i="6"/>
  <c r="Q44" i="6"/>
  <c r="Q38" i="6"/>
  <c r="Q39" i="6"/>
  <c r="I11" i="2"/>
  <c r="J10" i="4" s="1"/>
  <c r="J10" i="6" s="1"/>
  <c r="J11" i="2"/>
  <c r="K10" i="4" s="1"/>
  <c r="K10" i="6" s="1"/>
  <c r="K11" i="2"/>
  <c r="L10" i="4" s="1"/>
  <c r="L10" i="6" s="1"/>
  <c r="L11" i="2"/>
  <c r="M10" i="4" s="1"/>
  <c r="M10" i="6" s="1"/>
  <c r="I12" i="2"/>
  <c r="J11" i="4" s="1"/>
  <c r="J11" i="6" s="1"/>
  <c r="J12" i="2"/>
  <c r="K11" i="4" s="1"/>
  <c r="K11" i="6" s="1"/>
  <c r="K12" i="2"/>
  <c r="L11" i="4" s="1"/>
  <c r="L11" i="6" s="1"/>
  <c r="L12" i="2"/>
  <c r="M11" i="4" s="1"/>
  <c r="M11" i="6" s="1"/>
  <c r="I13" i="2"/>
  <c r="J12" i="4" s="1"/>
  <c r="J12" i="6" s="1"/>
  <c r="J13" i="2"/>
  <c r="K12" i="4" s="1"/>
  <c r="K12" i="6" s="1"/>
  <c r="K13" i="2"/>
  <c r="L12" i="4" s="1"/>
  <c r="L12" i="6" s="1"/>
  <c r="L13" i="2"/>
  <c r="M12" i="4" s="1"/>
  <c r="M12" i="6" s="1"/>
  <c r="I14" i="2"/>
  <c r="J13" i="4" s="1"/>
  <c r="J13" i="6" s="1"/>
  <c r="J14" i="2"/>
  <c r="K13" i="4" s="1"/>
  <c r="K13" i="6" s="1"/>
  <c r="K14" i="2"/>
  <c r="L13" i="4" s="1"/>
  <c r="L13" i="6" s="1"/>
  <c r="L14" i="2"/>
  <c r="M13" i="4" s="1"/>
  <c r="M13" i="6" s="1"/>
  <c r="I9" i="2"/>
  <c r="J8" i="4" s="1"/>
  <c r="J8" i="6" s="1"/>
  <c r="J9" i="2"/>
  <c r="K8" i="4" s="1"/>
  <c r="K8" i="6" s="1"/>
  <c r="K9" i="2"/>
  <c r="L8" i="4" s="1"/>
  <c r="L8" i="6" s="1"/>
  <c r="L9" i="2"/>
  <c r="M8" i="4" s="1"/>
  <c r="M8" i="6" s="1"/>
  <c r="I10" i="2"/>
  <c r="J9" i="4" s="1"/>
  <c r="J9" i="6" s="1"/>
  <c r="J10" i="2"/>
  <c r="K9" i="4" s="1"/>
  <c r="K9" i="6" s="1"/>
  <c r="K10" i="2"/>
  <c r="L9" i="4" s="1"/>
  <c r="L9" i="6" s="1"/>
  <c r="L10" i="2"/>
  <c r="M9" i="4" s="1"/>
  <c r="M9" i="6" s="1"/>
  <c r="K6" i="2"/>
  <c r="J6" i="2"/>
  <c r="I6" i="2"/>
  <c r="S30" i="7" a="1"/>
  <c r="S34" i="7" a="1"/>
  <c r="S31" i="7" a="1"/>
  <c r="S35" i="8" a="1"/>
  <c r="S32" i="7" a="1"/>
  <c r="S7" i="7" a="1"/>
  <c r="S44" i="7"/>
  <c r="S39" i="7" a="1"/>
  <c r="S30" i="8" a="1"/>
  <c r="S33" i="7" a="1"/>
  <c r="S6" i="7" a="1"/>
  <c r="S38" i="7" a="1"/>
  <c r="U6" i="7" a="1"/>
  <c r="T6" i="7" a="1"/>
  <c r="V6" i="7" a="1"/>
  <c r="S35" i="8" l="1"/>
  <c r="AA35" i="8" s="1"/>
  <c r="S30" i="8"/>
  <c r="S33" i="7"/>
  <c r="S34" i="7"/>
  <c r="B33" i="6"/>
  <c r="B48" i="7"/>
  <c r="AA48" i="7"/>
  <c r="B40" i="7"/>
  <c r="AA40" i="7"/>
  <c r="S6" i="7"/>
  <c r="T6" i="7"/>
  <c r="S7" i="7"/>
  <c r="V6" i="7"/>
  <c r="U6" i="7"/>
  <c r="M9" i="7"/>
  <c r="T9" i="6"/>
  <c r="K9" i="7"/>
  <c r="R9" i="6"/>
  <c r="K12" i="7"/>
  <c r="R12" i="6"/>
  <c r="J13" i="7"/>
  <c r="Q13" i="6"/>
  <c r="K13" i="7"/>
  <c r="R13" i="6"/>
  <c r="M12" i="7"/>
  <c r="T12" i="6"/>
  <c r="J9" i="7"/>
  <c r="Q9" i="6"/>
  <c r="M8" i="7"/>
  <c r="T8" i="6"/>
  <c r="M11" i="7"/>
  <c r="T11" i="6"/>
  <c r="J12" i="7"/>
  <c r="Q12" i="6"/>
  <c r="L11" i="7"/>
  <c r="S11" i="6"/>
  <c r="J10" i="7"/>
  <c r="Q10" i="6"/>
  <c r="L9" i="7"/>
  <c r="S9" i="6"/>
  <c r="L8" i="7"/>
  <c r="S8" i="6"/>
  <c r="K8" i="7"/>
  <c r="R8" i="6"/>
  <c r="K11" i="7"/>
  <c r="R11" i="6"/>
  <c r="K10" i="7"/>
  <c r="R10" i="6"/>
  <c r="J8" i="7"/>
  <c r="Q8" i="6"/>
  <c r="J11" i="7"/>
  <c r="Q11" i="6"/>
  <c r="M13" i="7"/>
  <c r="T13" i="6"/>
  <c r="M10" i="7"/>
  <c r="T10" i="6"/>
  <c r="L12" i="7"/>
  <c r="S12" i="6"/>
  <c r="L13" i="7"/>
  <c r="S13" i="6"/>
  <c r="L10" i="7"/>
  <c r="S10" i="6"/>
  <c r="S39" i="7"/>
  <c r="S31" i="7"/>
  <c r="S32" i="7"/>
  <c r="S38" i="7"/>
  <c r="S30" i="7"/>
  <c r="B44" i="6"/>
  <c r="B30" i="6"/>
  <c r="B39" i="6"/>
  <c r="B38" i="6"/>
  <c r="B34" i="6"/>
  <c r="B31" i="6"/>
  <c r="B32" i="6"/>
  <c r="A23" i="2"/>
  <c r="N23" i="2" s="1"/>
  <c r="O22" i="4" s="1"/>
  <c r="A22" i="2"/>
  <c r="N22" i="2" s="1"/>
  <c r="O21" i="4" s="1"/>
  <c r="A21" i="2"/>
  <c r="N21" i="2" s="1"/>
  <c r="O20" i="4" s="1"/>
  <c r="A20" i="2"/>
  <c r="N20" i="2" s="1"/>
  <c r="O19" i="4" s="1"/>
  <c r="T9" i="7" a="1"/>
  <c r="S8" i="8" a="1"/>
  <c r="S41" i="8" a="1"/>
  <c r="T12" i="7" a="1"/>
  <c r="U9" i="7" a="1"/>
  <c r="S40" i="8" a="1"/>
  <c r="S36" i="9" a="1"/>
  <c r="V13" i="7" a="1"/>
  <c r="S28" i="8" a="1"/>
  <c r="S33" i="8" a="1"/>
  <c r="V9" i="7" a="1"/>
  <c r="T10" i="7" a="1"/>
  <c r="T13" i="7" a="1"/>
  <c r="V12" i="7" a="1"/>
  <c r="U13" i="7" a="1"/>
  <c r="S9" i="7" a="1"/>
  <c r="U10" i="7" a="1"/>
  <c r="T8" i="8" a="1"/>
  <c r="S9" i="8" a="1"/>
  <c r="V10" i="7" a="1"/>
  <c r="T11" i="7" a="1"/>
  <c r="V11" i="7" a="1"/>
  <c r="S11" i="7" a="1"/>
  <c r="S13" i="7" a="1"/>
  <c r="T8" i="7" a="1"/>
  <c r="V8" i="8" a="1"/>
  <c r="U11" i="7" a="1"/>
  <c r="V8" i="7" a="1"/>
  <c r="U8" i="8" a="1"/>
  <c r="S12" i="7" a="1"/>
  <c r="U8" i="7" a="1"/>
  <c r="S39" i="8" a="1"/>
  <c r="U12" i="7" a="1"/>
  <c r="S8" i="7" a="1"/>
  <c r="S10" i="7" a="1"/>
  <c r="S31" i="9" a="1"/>
  <c r="S29" i="8" a="1"/>
  <c r="S36" i="9" l="1"/>
  <c r="AA36" i="9" s="1"/>
  <c r="S31" i="9"/>
  <c r="B35" i="8"/>
  <c r="B30" i="8"/>
  <c r="S33" i="8"/>
  <c r="S39" i="8"/>
  <c r="S9" i="8"/>
  <c r="V8" i="8"/>
  <c r="U8" i="8"/>
  <c r="T8" i="8"/>
  <c r="S8" i="8"/>
  <c r="AD6" i="7"/>
  <c r="S41" i="8"/>
  <c r="S40" i="8"/>
  <c r="AA30" i="8"/>
  <c r="S28" i="8"/>
  <c r="S29" i="8"/>
  <c r="AA7" i="7"/>
  <c r="AA6" i="7"/>
  <c r="AC6" i="7"/>
  <c r="AB6" i="7"/>
  <c r="AA33" i="7"/>
  <c r="B33" i="7"/>
  <c r="AA34" i="7"/>
  <c r="B34" i="7"/>
  <c r="B44" i="7"/>
  <c r="AA44" i="7"/>
  <c r="B38" i="7"/>
  <c r="AA38" i="7"/>
  <c r="B39" i="7"/>
  <c r="AA39" i="7"/>
  <c r="B30" i="7"/>
  <c r="AA30" i="7"/>
  <c r="B32" i="7"/>
  <c r="AA32" i="7"/>
  <c r="B31" i="7"/>
  <c r="AA31" i="7"/>
  <c r="T12" i="7"/>
  <c r="V8" i="7"/>
  <c r="S11" i="7"/>
  <c r="U9" i="7"/>
  <c r="S9" i="7"/>
  <c r="V9" i="7"/>
  <c r="U10" i="7"/>
  <c r="S8" i="7"/>
  <c r="S10" i="7"/>
  <c r="V12" i="7"/>
  <c r="AD12" i="7" s="1"/>
  <c r="V10" i="7"/>
  <c r="AD10" i="7" s="1"/>
  <c r="T8" i="7"/>
  <c r="U8" i="7"/>
  <c r="U13" i="7"/>
  <c r="T10" i="7"/>
  <c r="U11" i="7"/>
  <c r="T13" i="7"/>
  <c r="V11" i="7"/>
  <c r="AD11" i="7" s="1"/>
  <c r="V13" i="7"/>
  <c r="AD13" i="7" s="1"/>
  <c r="T9" i="7"/>
  <c r="U12" i="7"/>
  <c r="T11" i="7"/>
  <c r="S12" i="7"/>
  <c r="S13" i="7"/>
  <c r="B21" i="4"/>
  <c r="Q21" i="6"/>
  <c r="B22" i="4"/>
  <c r="Q22" i="6"/>
  <c r="Q19" i="6"/>
  <c r="B19" i="4"/>
  <c r="B20" i="4"/>
  <c r="Q20" i="6"/>
  <c r="V11" i="8" a="1"/>
  <c r="S40" i="9" a="1"/>
  <c r="S8" i="9" a="1"/>
  <c r="S29" i="9" a="1"/>
  <c r="T8" i="9" a="1"/>
  <c r="S30" i="9" a="1"/>
  <c r="S19" i="7" a="1"/>
  <c r="S9" i="9" a="1"/>
  <c r="U10" i="8" a="1"/>
  <c r="U11" i="8" a="1"/>
  <c r="S22" i="7" a="1"/>
  <c r="V8" i="9" a="1"/>
  <c r="U8" i="9" a="1"/>
  <c r="S42" i="9" a="1"/>
  <c r="S41" i="9" a="1"/>
  <c r="V10" i="8" a="1"/>
  <c r="S35" i="10" a="1"/>
  <c r="S21" i="7" a="1"/>
  <c r="T11" i="8" a="1"/>
  <c r="S20" i="7" a="1"/>
  <c r="S11" i="8" a="1"/>
  <c r="S34" i="9" a="1"/>
  <c r="S30" i="10" a="1"/>
  <c r="S10" i="8" a="1"/>
  <c r="T10" i="8" a="1"/>
  <c r="S35" i="10" l="1"/>
  <c r="S30" i="10"/>
  <c r="B30" i="10" s="1"/>
  <c r="B36" i="9"/>
  <c r="B31" i="9"/>
  <c r="S9" i="9"/>
  <c r="V8" i="9"/>
  <c r="U8" i="9"/>
  <c r="T8" i="9"/>
  <c r="S8" i="9"/>
  <c r="S30" i="9"/>
  <c r="S34" i="9"/>
  <c r="S40" i="9"/>
  <c r="S29" i="9"/>
  <c r="S41" i="9"/>
  <c r="S42" i="9"/>
  <c r="AA29" i="8"/>
  <c r="B33" i="8"/>
  <c r="T9" i="8"/>
  <c r="B28" i="8"/>
  <c r="AA31" i="9"/>
  <c r="AA39" i="8"/>
  <c r="B39" i="8"/>
  <c r="AA40" i="8"/>
  <c r="B40" i="8"/>
  <c r="AA41" i="8"/>
  <c r="B41" i="8"/>
  <c r="S34" i="8"/>
  <c r="AA34" i="8" s="1"/>
  <c r="AA33" i="8"/>
  <c r="J9" i="8"/>
  <c r="AB8" i="8"/>
  <c r="K8" i="8"/>
  <c r="AC8" i="8"/>
  <c r="L8" i="8"/>
  <c r="AD8" i="8"/>
  <c r="M8" i="8"/>
  <c r="AA8" i="8"/>
  <c r="J8" i="8"/>
  <c r="AA9" i="8"/>
  <c r="S11" i="8"/>
  <c r="T11" i="8"/>
  <c r="U11" i="8"/>
  <c r="V11" i="8"/>
  <c r="V10" i="8"/>
  <c r="U10" i="8"/>
  <c r="T10" i="8"/>
  <c r="S10" i="8"/>
  <c r="AD9" i="7"/>
  <c r="AD8" i="7"/>
  <c r="B38" i="8"/>
  <c r="AA28" i="8"/>
  <c r="B29" i="8"/>
  <c r="AB10" i="7"/>
  <c r="AA13" i="7"/>
  <c r="AB8" i="7"/>
  <c r="AA12" i="7"/>
  <c r="AC12" i="7"/>
  <c r="AA10" i="7"/>
  <c r="AA9" i="7"/>
  <c r="AB11" i="7"/>
  <c r="AB9" i="7"/>
  <c r="AA8" i="7"/>
  <c r="AC10" i="7"/>
  <c r="AA11" i="7"/>
  <c r="AB13" i="7"/>
  <c r="AC11" i="7"/>
  <c r="AC9" i="7"/>
  <c r="AC13" i="7"/>
  <c r="AC8" i="7"/>
  <c r="AB12" i="7"/>
  <c r="S21" i="7"/>
  <c r="S20" i="7"/>
  <c r="S19" i="7"/>
  <c r="S22" i="7"/>
  <c r="B20" i="6"/>
  <c r="B19" i="6"/>
  <c r="B22" i="6"/>
  <c r="B21" i="6"/>
  <c r="S10" i="9" a="1"/>
  <c r="S20" i="8" a="1"/>
  <c r="S41" i="10" a="1"/>
  <c r="V12" i="9" a="1"/>
  <c r="U12" i="9" a="1"/>
  <c r="S19" i="8" a="1"/>
  <c r="T12" i="9" a="1"/>
  <c r="S12" i="9" a="1"/>
  <c r="S8" i="10" a="1"/>
  <c r="U10" i="9" a="1"/>
  <c r="S28" i="10" a="1"/>
  <c r="S40" i="10" a="1"/>
  <c r="S33" i="10" a="1"/>
  <c r="S18" i="8" a="1"/>
  <c r="S29" i="10" a="1"/>
  <c r="V10" i="9" a="1"/>
  <c r="T9" i="9" a="1"/>
  <c r="S17" i="8" a="1"/>
  <c r="T10" i="9" a="1"/>
  <c r="S39" i="10" a="1"/>
  <c r="B35" i="10" l="1"/>
  <c r="AA35" i="10"/>
  <c r="AA30" i="10"/>
  <c r="S33" i="10"/>
  <c r="B33" i="10" s="1"/>
  <c r="S29" i="10"/>
  <c r="B29" i="10" s="1"/>
  <c r="S41" i="10"/>
  <c r="B41" i="10" s="1"/>
  <c r="S8" i="10"/>
  <c r="J8" i="10" s="1"/>
  <c r="S40" i="10"/>
  <c r="B40" i="10" s="1"/>
  <c r="S28" i="10"/>
  <c r="AA28" i="10" s="1"/>
  <c r="S39" i="10"/>
  <c r="AA39" i="10" s="1"/>
  <c r="B30" i="9"/>
  <c r="J8" i="9"/>
  <c r="AB8" i="9"/>
  <c r="AJ8" i="9" s="1"/>
  <c r="AC8" i="9"/>
  <c r="AK8" i="9" s="1"/>
  <c r="AD8" i="9"/>
  <c r="AL8" i="9" s="1"/>
  <c r="B42" i="9"/>
  <c r="AA9" i="9"/>
  <c r="AI9" i="9" s="1"/>
  <c r="AA41" i="9"/>
  <c r="B29" i="9"/>
  <c r="B40" i="9"/>
  <c r="V12" i="9"/>
  <c r="U12" i="9"/>
  <c r="T12" i="9"/>
  <c r="S12" i="9"/>
  <c r="S10" i="9"/>
  <c r="T10" i="9"/>
  <c r="V10" i="9"/>
  <c r="U10" i="9"/>
  <c r="T9" i="9"/>
  <c r="AA40" i="9"/>
  <c r="K9" i="8"/>
  <c r="B41" i="9"/>
  <c r="L8" i="9"/>
  <c r="AA8" i="9"/>
  <c r="AI8" i="9" s="1"/>
  <c r="AA29" i="9"/>
  <c r="AA30" i="9"/>
  <c r="AA42" i="9"/>
  <c r="B34" i="9"/>
  <c r="S35" i="9"/>
  <c r="AA35" i="9" s="1"/>
  <c r="AA34" i="9"/>
  <c r="M8" i="9"/>
  <c r="K8" i="9"/>
  <c r="J9" i="9"/>
  <c r="B22" i="7"/>
  <c r="B19" i="7"/>
  <c r="B20" i="7"/>
  <c r="B21" i="7"/>
  <c r="AA38" i="8"/>
  <c r="AB9" i="8"/>
  <c r="AC11" i="8"/>
  <c r="L11" i="8"/>
  <c r="AB11" i="8"/>
  <c r="K11" i="8"/>
  <c r="AB10" i="8"/>
  <c r="K10" i="8"/>
  <c r="AC10" i="8"/>
  <c r="L10" i="8"/>
  <c r="AA11" i="8"/>
  <c r="J11" i="8"/>
  <c r="AA10" i="8"/>
  <c r="J10" i="8"/>
  <c r="AD10" i="8"/>
  <c r="M10" i="8"/>
  <c r="AD11" i="8"/>
  <c r="M11" i="8"/>
  <c r="S20" i="8"/>
  <c r="S17" i="8"/>
  <c r="S18" i="8"/>
  <c r="S19" i="8"/>
  <c r="AA22" i="7"/>
  <c r="AA19" i="7"/>
  <c r="AA20" i="7"/>
  <c r="AA21" i="7"/>
  <c r="V11" i="10" a="1"/>
  <c r="V9" i="10" a="1"/>
  <c r="S19" i="9" a="1"/>
  <c r="U11" i="10" a="1"/>
  <c r="S9" i="10" a="1"/>
  <c r="S18" i="9" a="1"/>
  <c r="T11" i="10" a="1"/>
  <c r="S11" i="10" a="1"/>
  <c r="T9" i="10" a="1"/>
  <c r="T8" i="10" a="1"/>
  <c r="S20" i="9" a="1"/>
  <c r="U9" i="10" a="1"/>
  <c r="S21" i="9" a="1"/>
  <c r="AA8" i="10" l="1"/>
  <c r="B39" i="10"/>
  <c r="AA41" i="10"/>
  <c r="AA29" i="10"/>
  <c r="B28" i="10"/>
  <c r="AA33" i="10"/>
  <c r="S34" i="10"/>
  <c r="AA34" i="10" s="1"/>
  <c r="V9" i="10"/>
  <c r="M9" i="10" s="1"/>
  <c r="T9" i="10"/>
  <c r="K9" i="10" s="1"/>
  <c r="S9" i="10"/>
  <c r="J9" i="10" s="1"/>
  <c r="S11" i="10"/>
  <c r="AA11" i="10" s="1"/>
  <c r="T11" i="10"/>
  <c r="K11" i="10" s="1"/>
  <c r="V11" i="10"/>
  <c r="M11" i="10" s="1"/>
  <c r="U11" i="10"/>
  <c r="L11" i="10" s="1"/>
  <c r="T8" i="10"/>
  <c r="AB8" i="10" s="1"/>
  <c r="U9" i="10"/>
  <c r="L9" i="10" s="1"/>
  <c r="M10" i="9"/>
  <c r="AB10" i="9"/>
  <c r="AJ10" i="9" s="1"/>
  <c r="J10" i="9"/>
  <c r="J12" i="9"/>
  <c r="AB12" i="9"/>
  <c r="AJ12" i="9" s="1"/>
  <c r="AD12" i="9"/>
  <c r="AL12" i="9" s="1"/>
  <c r="AC12" i="9"/>
  <c r="AK12" i="9" s="1"/>
  <c r="K9" i="9"/>
  <c r="AA40" i="10"/>
  <c r="AC10" i="9"/>
  <c r="AK10" i="9" s="1"/>
  <c r="K12" i="9"/>
  <c r="L12" i="9"/>
  <c r="AA10" i="9"/>
  <c r="AI10" i="9" s="1"/>
  <c r="K10" i="9"/>
  <c r="AD10" i="9"/>
  <c r="AL10" i="9" s="1"/>
  <c r="S20" i="9"/>
  <c r="S18" i="9"/>
  <c r="S21" i="9"/>
  <c r="S19" i="9"/>
  <c r="AB9" i="9"/>
  <c r="AJ9" i="9" s="1"/>
  <c r="L10" i="9"/>
  <c r="M12" i="9"/>
  <c r="AA12" i="9"/>
  <c r="AI12" i="9" s="1"/>
  <c r="AA19" i="8"/>
  <c r="B19" i="8"/>
  <c r="AA18" i="8"/>
  <c r="B18" i="8"/>
  <c r="AA20" i="8"/>
  <c r="B20" i="8"/>
  <c r="AA17" i="8"/>
  <c r="B17" i="8"/>
  <c r="S18" i="10" a="1"/>
  <c r="S17" i="10" a="1"/>
  <c r="S19" i="10" a="1"/>
  <c r="S20" i="10" a="1"/>
  <c r="AC11" i="10" l="1"/>
  <c r="K8" i="10"/>
  <c r="AD9" i="10"/>
  <c r="AC9" i="10"/>
  <c r="S18" i="10"/>
  <c r="AA18" i="10" s="1"/>
  <c r="S20" i="10"/>
  <c r="AA20" i="10" s="1"/>
  <c r="S19" i="10"/>
  <c r="B19" i="10" s="1"/>
  <c r="S17" i="10"/>
  <c r="B17" i="10" s="1"/>
  <c r="AA19" i="9"/>
  <c r="AB11" i="10"/>
  <c r="AA21" i="9"/>
  <c r="AA20" i="9"/>
  <c r="AA9" i="10"/>
  <c r="AD11" i="10"/>
  <c r="AB9" i="10"/>
  <c r="J11" i="10"/>
  <c r="AA18" i="9"/>
  <c r="B21" i="9"/>
  <c r="B18" i="9"/>
  <c r="B20" i="9"/>
  <c r="B19" i="9"/>
  <c r="B20" i="10" l="1"/>
  <c r="AA17" i="10"/>
  <c r="AA19" i="10"/>
  <c r="B1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Nelms, Pam :</t>
        </r>
        <r>
          <rPr>
            <sz val="8"/>
            <color indexed="81"/>
            <rFont val="Tahoma"/>
            <family val="2"/>
          </rPr>
          <t xml:space="preserve">
Effective January 1 2018: Step Movment is allowed
</t>
        </r>
        <r>
          <rPr>
            <b/>
            <sz val="8"/>
            <color indexed="81"/>
            <rFont val="Tahoma"/>
            <family val="2"/>
          </rPr>
          <t xml:space="preserve">At the start of the first full pay period after February 1, 2018: </t>
        </r>
        <r>
          <rPr>
            <sz val="8"/>
            <color indexed="81"/>
            <rFont val="Tahoma"/>
            <family val="2"/>
          </rPr>
          <t>increase the hourly rates on the wage schedule, longevity schedule, assignment and certification premiums, and shift differentials by 2.5%.  
Safety Shoe Allowance remains $280 every two years 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Miller, Brenda (she/her/hers)</author>
  </authors>
  <commentList>
    <comment ref="AB11" authorId="0" shapeId="0" xr:uid="{73912582-8556-4174-9D01-06768D8CA49B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  <comment ref="AC11" authorId="0" shapeId="0" xr:uid="{D4167727-AC2F-41CB-B93F-BC1BA6F6B2D3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<sst xmlns="http://schemas.openxmlformats.org/spreadsheetml/2006/main" count="1048" uniqueCount="198">
  <si>
    <t>Plumbers Union Local No. 15</t>
  </si>
  <si>
    <t>FLSA</t>
  </si>
  <si>
    <t>Sal Grd</t>
  </si>
  <si>
    <t>PTS</t>
  </si>
  <si>
    <t>Step 1</t>
  </si>
  <si>
    <t>Step 2</t>
  </si>
  <si>
    <t>Step 3</t>
  </si>
  <si>
    <t>Step 4</t>
  </si>
  <si>
    <t>N</t>
  </si>
  <si>
    <t>02235C</t>
  </si>
  <si>
    <t>07</t>
  </si>
  <si>
    <t>Commercial Meter Service Worker</t>
  </si>
  <si>
    <t>H</t>
  </si>
  <si>
    <t>05030C</t>
  </si>
  <si>
    <t>05</t>
  </si>
  <si>
    <t>Foreman Water Service Maintenance</t>
  </si>
  <si>
    <t>N/A</t>
  </si>
  <si>
    <t>08890C</t>
  </si>
  <si>
    <t>06</t>
  </si>
  <si>
    <t>Residential Meter Service Worker</t>
  </si>
  <si>
    <t>10940C</t>
  </si>
  <si>
    <t>01</t>
  </si>
  <si>
    <t>Water Works Service Worker I</t>
  </si>
  <si>
    <t>10950C</t>
  </si>
  <si>
    <t>03</t>
  </si>
  <si>
    <t>Water Works Service Worker II</t>
  </si>
  <si>
    <t>Longevity</t>
  </si>
  <si>
    <t>Provided that employees in this section shall receive the following longevity.</t>
  </si>
  <si>
    <t>These payments shall be based on a maximum of 80 hours bi-weekly.</t>
  </si>
  <si>
    <t xml:space="preserve"> per hour additional at the beginning of the 10th year of service</t>
  </si>
  <si>
    <t xml:space="preserve"> per hour additional at the beginning of the 15th year of service</t>
  </si>
  <si>
    <t xml:space="preserve"> per hour additional at the beginning of the 20th year of service</t>
  </si>
  <si>
    <t xml:space="preserve"> per hour additional at the beginning of the 25th year of service</t>
  </si>
  <si>
    <t>Safety Shoes</t>
  </si>
  <si>
    <t xml:space="preserve">Provided that employees who are required by the employer to wear safety shoes as a condition of employment shall </t>
  </si>
  <si>
    <t xml:space="preserve">be eligible to participate in the employer's Safety Shoe Expense Reimbursement Program and receive bi-annual  </t>
  </si>
  <si>
    <t xml:space="preserve">(every two years) reimbursement of up to two hundred eighty dollars ($280) for purchase or repair of safety shoes. </t>
  </si>
  <si>
    <t>Premiums</t>
  </si>
  <si>
    <t xml:space="preserve">Assignment Premiums: The following premiums will be paid for all hours worked in the eligible assignment. </t>
  </si>
  <si>
    <t xml:space="preserve">per hour for all hours worked as a Water Works Service Worker II assigned to a Gate Truck:  </t>
  </si>
  <si>
    <t>per hour for all hours worked as a Small Tapper.</t>
  </si>
  <si>
    <t>per hour for all hours worked as a Leak Investigator or Locator.</t>
  </si>
  <si>
    <t>per hour for all hours worked in a HAZWOPER contaminated environments as per OSHA/MNPCA</t>
  </si>
  <si>
    <t>per hour for all hours worked wearing protective equipment including respirator in HAZWOPER environment.</t>
  </si>
  <si>
    <t xml:space="preserve">Certification Premiums: Provided that employees are are eligible for ONE certification premium based </t>
  </si>
  <si>
    <t xml:space="preserve">upon their highest current MN Certificates, as follows: </t>
  </si>
  <si>
    <t>per hour for all hours paid when holding a valid MN "D" Water Operator certification</t>
  </si>
  <si>
    <t>per hour for all hours paid when holding a valid MN "C" Water Operator certification</t>
  </si>
  <si>
    <t>per hour for all hours paid when holding a valid MN "B" Water Operator certification</t>
  </si>
  <si>
    <t>per hour for all hours paid when holding a valid MN "A" Water Operator certification</t>
  </si>
  <si>
    <t>Shift Differential</t>
  </si>
  <si>
    <t xml:space="preserve">Employees who are scheduled to work a shift which begins between 12:00 noon and 2:59 p.m. shall be paid a shift differential of  </t>
  </si>
  <si>
    <t xml:space="preserve">per hour for all hours worked on such shifts. In addition, the $0.565 shift differential applies to all overtime hours worked </t>
  </si>
  <si>
    <t xml:space="preserve">whenever the same employee is authorized to come in early or stay over, working immediately adjacent to such a shift. </t>
  </si>
  <si>
    <t xml:space="preserve">Employees who are scheduled to work an 8-hour shift which begins between 3:00 p.m. and 5:59 a.m. shall be paid a shift differential of </t>
  </si>
  <si>
    <t xml:space="preserve">per hour for all hours worked on such shifts.  In addition, the $1.192 shift differential applies to all overtime hours worked </t>
  </si>
  <si>
    <t>Water Distribution Operator</t>
  </si>
  <si>
    <t>Senior Water Distribution Operator</t>
  </si>
  <si>
    <t xml:space="preserve">Provided that employees who are required by the employer to wear safety shoes as a condition of employment, </t>
  </si>
  <si>
    <t>per hour for all hours worked as a Water Works Service Worker II assigned to a Gate Truck.</t>
  </si>
  <si>
    <t xml:space="preserve">Certification Premiums: Provided that employees are eligible for ONE certification premium based </t>
  </si>
  <si>
    <t>per hour for all hours paid when holding a valid MN "C" Water Operator certification (except Senior Water Distribution Operator)</t>
  </si>
  <si>
    <t>NA</t>
  </si>
  <si>
    <t>Classification</t>
  </si>
  <si>
    <t>Date</t>
  </si>
  <si>
    <t>By</t>
  </si>
  <si>
    <t>Change</t>
  </si>
  <si>
    <t>Brenda</t>
  </si>
  <si>
    <t>Corrected formulas in 2019 salary schedule</t>
  </si>
  <si>
    <t>Pay Type</t>
  </si>
  <si>
    <t>OTC Code</t>
  </si>
  <si>
    <t>Job Code</t>
  </si>
  <si>
    <t>Classification Grade</t>
  </si>
  <si>
    <t xml:space="preserve">   Effective at the start of the first full pay period after February 1, 2018: </t>
  </si>
  <si>
    <t xml:space="preserve">   Step movement is allowed</t>
  </si>
  <si>
    <t>52917C</t>
  </si>
  <si>
    <t>Trainee</t>
  </si>
  <si>
    <t>Added Water Distriution Operator Trainee per e-mail from Josh w/an LOA that indicates the position was created from Joe Hatch</t>
  </si>
  <si>
    <t>Unhid WDO and SWDO
Added asterisk and note that employeees will not be eligible for future pay increases and will be eliminated effective 12/8/21 - per Joe 10/28/19</t>
  </si>
  <si>
    <t>?</t>
  </si>
  <si>
    <t>Holland/Nastassia</t>
  </si>
  <si>
    <t>Effective 2/3/2019: 2.5% increase to all Classification Wages. Step Movment is allowed
2.5% increase applied to Longevity
Safety Shoe allowance converted to an hourly rate of $0.07/hour and added prior to the application of the 2.5% increase.</t>
  </si>
  <si>
    <t>Commercial Meter Service Worker**</t>
  </si>
  <si>
    <t>Residential Meter Service Worker**</t>
  </si>
  <si>
    <t>Water Works Service Worker I**</t>
  </si>
  <si>
    <t>Water Works Service Worker II**</t>
  </si>
  <si>
    <t>Grade</t>
  </si>
  <si>
    <t>Water Distribution Operator Trainee</t>
  </si>
  <si>
    <t>AFSCME Water Maintenance (CAW)</t>
  </si>
  <si>
    <t xml:space="preserve">   Effective at the start of the first full pay period after October 10, 2019: </t>
  </si>
  <si>
    <t>52938C</t>
  </si>
  <si>
    <t>52939C</t>
  </si>
  <si>
    <t>02</t>
  </si>
  <si>
    <t>updated job code and grade for WDO/SrWDO</t>
  </si>
  <si>
    <t>* *Wages for these titles will not inccrease, however, step movement is allowed. These titles will be eliminated effective 12/8/2021.</t>
  </si>
  <si>
    <t>completed audit</t>
  </si>
  <si>
    <t>52951C</t>
  </si>
  <si>
    <t>09</t>
  </si>
  <si>
    <t>Water Loss Specialist</t>
  </si>
  <si>
    <t>Added 3/1/2021 tab: 2.5% for base rates, longevity pay, &amp; premiums; 15% for shift differential</t>
  </si>
  <si>
    <t>Added 5/1/2020 tab: 2.5% for base rates, longevity pay, &amp; premiums; 15% for shift differential</t>
  </si>
  <si>
    <t>Added 3/1/2022 tab: 2.5% for base rates, longevity pay, &amp; premiums; 15% for shift differential</t>
  </si>
  <si>
    <t xml:space="preserve">   Effective May 1, 2020: </t>
  </si>
  <si>
    <t>Base Incr %:</t>
  </si>
  <si>
    <t>Shift Diff Incr %</t>
  </si>
  <si>
    <t>effective 2/3/2019, the safety shoe rate was added to hourly rate as:</t>
  </si>
  <si>
    <t>per hour</t>
  </si>
  <si>
    <t xml:space="preserve">   Effective March 1, 2021: </t>
  </si>
  <si>
    <t xml:space="preserve">   Effective March 1, 2022: </t>
  </si>
  <si>
    <t>Shift Diff Incr %2</t>
  </si>
  <si>
    <t>Removed 2.5% base rate increases for Commercial &amp; Residential Meter Service Workers and Worker I &amp; II - per Joe 3/10/2020</t>
  </si>
  <si>
    <t>Changed 3:00 p.m. and 5:59 a.m. shift premium from 15% to 2.5% per Joe 3/10/2020</t>
  </si>
  <si>
    <t>Removed 05030C Foreman Water Service Maintenance per Joe. The job was not represented by CAW when it switched over from CPL</t>
  </si>
  <si>
    <t>04</t>
  </si>
  <si>
    <t>Corrected job grad for 52917C Water Distribution Operator Trainee from 1 to 04</t>
  </si>
  <si>
    <t>Corrected job grade for Commercial Meter Service Worker from 07 to 05</t>
  </si>
  <si>
    <t>Corrected job grade for Water Works Service Worker from 01 to 07</t>
  </si>
  <si>
    <t>CAWTAP</t>
  </si>
  <si>
    <t>CAWGTT</t>
  </si>
  <si>
    <t>CAWLEK</t>
  </si>
  <si>
    <t>CAWHWP</t>
  </si>
  <si>
    <t>CAWRSP</t>
  </si>
  <si>
    <t>CAWWOA</t>
  </si>
  <si>
    <t>CAWWOB</t>
  </si>
  <si>
    <t>CAWWOC</t>
  </si>
  <si>
    <t>CAWEVE</t>
  </si>
  <si>
    <t>CAWNIT</t>
  </si>
  <si>
    <t>Year 10</t>
  </si>
  <si>
    <t>Year 15</t>
  </si>
  <si>
    <t>Year 20</t>
  </si>
  <si>
    <t>Year 25</t>
  </si>
  <si>
    <t>TL-Gate Truck Premium-CAW</t>
  </si>
  <si>
    <t>TL-Small Taper Premium-CAW</t>
  </si>
  <si>
    <t>TL-Leak Investigator/Loctr-CAW</t>
  </si>
  <si>
    <t>TL-Hazwoper-CAW</t>
  </si>
  <si>
    <t>TL-Respirator-CAW</t>
  </si>
  <si>
    <t>Water Operator Certification-C</t>
  </si>
  <si>
    <t>Water Operator Certification-B</t>
  </si>
  <si>
    <t>Water Operator Certification-A</t>
  </si>
  <si>
    <t>TL-Afternoon Shift Premium-CAW</t>
  </si>
  <si>
    <t>TL-Night Shift Premium-CPL</t>
  </si>
  <si>
    <t>Job Title</t>
  </si>
  <si>
    <t>Title</t>
  </si>
  <si>
    <t>Pulling Data From:</t>
  </si>
  <si>
    <t>DataMar2021</t>
  </si>
  <si>
    <t>BaseIncrPerc2022</t>
  </si>
  <si>
    <t>ShiftIncrPerc2022</t>
  </si>
  <si>
    <t>ShiftIncrPerc2022v2</t>
  </si>
  <si>
    <t>Update</t>
  </si>
  <si>
    <t>Y</t>
  </si>
  <si>
    <t>Class Grd</t>
  </si>
  <si>
    <t xml:space="preserve">per hour for all hours worked on such shifts.  In addition, the $1.221 shift differential applies to all overtime hours worked </t>
  </si>
  <si>
    <t xml:space="preserve">per hour for all hours worked on such shifts.  In addition, the $1.252 shift differential applies to all overtime hours worked </t>
  </si>
  <si>
    <t xml:space="preserve">per hour for all hours worked on such shifts.  In addition, the $1.283 shift differential applies to all overtime hours worked </t>
  </si>
  <si>
    <t>CAWWKE</t>
  </si>
  <si>
    <t>DataMarch2022</t>
  </si>
  <si>
    <t>TL-Lrg &amp; Sml Taper Premium-CAW</t>
  </si>
  <si>
    <t>ShoePremium</t>
  </si>
  <si>
    <t>LeakLocaterPremium</t>
  </si>
  <si>
    <t>LeakLocaterPrem2</t>
  </si>
  <si>
    <r>
      <t xml:space="preserve">Certification Premiums: </t>
    </r>
    <r>
      <rPr>
        <sz val="11"/>
        <rFont val="Calibri"/>
        <family val="2"/>
        <scheme val="minor"/>
      </rPr>
      <t xml:space="preserve">Provided that employees are eligible for ONE certification premium based </t>
    </r>
  </si>
  <si>
    <t>*For Trainee only, move to Step 2 after 6 months of employment and completion of a satisfactory performance review</t>
  </si>
  <si>
    <t>add</t>
  </si>
  <si>
    <t>Weekend shift-CAW</t>
  </si>
  <si>
    <t>CAWGLA</t>
  </si>
  <si>
    <t>Gate Truck Lead Assignment</t>
  </si>
  <si>
    <t>CAWCMT</t>
  </si>
  <si>
    <t>Commercial Meter Testing (on-site)</t>
  </si>
  <si>
    <t xml:space="preserve">upon their highest current MN Water Supply Operator Certificates, as follows: </t>
  </si>
  <si>
    <t>per hour for all hours paid when holding a valid MN "C" Water Operator certification (except Senior Water Distribution Operator &amp; Water Loss Specialist)</t>
  </si>
  <si>
    <t>Shift Differentials  (regularly scheduled - see Agreement Section 9.07)</t>
  </si>
  <si>
    <t>between the hours of 6:00 am and 2:59 pm on Saturday, Sunday, or a recognized holiday.</t>
  </si>
  <si>
    <t>Afternoon/Weekend Shift Differential: regularly scheduled shift begins on a weekday between 12:00 noon and 2:59 pm or</t>
  </si>
  <si>
    <t>Gate Truck Lead</t>
  </si>
  <si>
    <t>Gate Truck</t>
  </si>
  <si>
    <t>Tapping (Small and Large taps)</t>
  </si>
  <si>
    <t>Respirator</t>
  </si>
  <si>
    <t>Commerical Meter testing</t>
  </si>
  <si>
    <t>Assignment Premiums (as worked, see Agreement Section 9.08 for conditions)</t>
  </si>
  <si>
    <t>BaseIncrPerc2023</t>
  </si>
  <si>
    <t>BaseIncrPerc2024</t>
  </si>
  <si>
    <t>DataJan2023</t>
  </si>
  <si>
    <t>BaseIncrPerc2025</t>
  </si>
  <si>
    <t>DataJan2024</t>
  </si>
  <si>
    <t>Last updated May 18, 2023</t>
  </si>
  <si>
    <t>Evening Shift Differential: regularly-scheduled shift begins between 3:00 pm and 5:59 am on any day</t>
  </si>
  <si>
    <t>Marie</t>
  </si>
  <si>
    <t>Added Water Loss &amp; Service Connection Inspector</t>
  </si>
  <si>
    <t>59489C</t>
  </si>
  <si>
    <t>10</t>
  </si>
  <si>
    <t>Water Loss &amp; Service Connection Inspector</t>
  </si>
  <si>
    <t>City of Minneapolis</t>
  </si>
  <si>
    <t>Last updated 12/10/2024</t>
  </si>
  <si>
    <t>Page 1 of 1</t>
  </si>
  <si>
    <t>HRIS/Payroll</t>
  </si>
  <si>
    <t>Effective 1/1/2025</t>
  </si>
  <si>
    <t>Removed Water Loss Specialist per Annika Bankston. Job was replaced by Water Loss &amp; Service Connection Inspector</t>
  </si>
  <si>
    <t>Last updated October 29,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</si>
</sst>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General_)"/>
    <numFmt numFmtId="165" formatCode="0.000"/>
    <numFmt numFmtId="166" formatCode="&quot;$&quot;#,##0.000"/>
    <numFmt numFmtId="167" formatCode="#,##0.000"/>
    <numFmt numFmtId="168" formatCode="&quot;$&quot;#,##0.00"/>
  </numFmts>
  <fonts count="15" x14ac:knownFonts="1">
    <font>
      <sz val="11"/>
      <color theme="1"/>
      <name val="Calibri"/>
      <family val="2"/>
      <scheme val="minor"/>
    </font>
    <font>
      <sz val="12"/>
      <name val="Helv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/>
    <xf numFmtId="0" fontId="5" fillId="0" borderId="0" applyNumberFormat="0" applyFont="0" applyFill="0" applyBorder="0" applyAlignment="0" applyProtection="0">
      <alignment horizontal="left"/>
    </xf>
    <xf numFmtId="164" fontId="1" fillId="0" borderId="0"/>
  </cellStyleXfs>
  <cellXfs count="125">
    <xf numFmtId="0" fontId="0" fillId="0" borderId="0" xfId="0"/>
    <xf numFmtId="164" fontId="2" fillId="0" borderId="0" xfId="1" applyFont="1" applyFill="1" applyAlignment="1" applyProtection="1">
      <alignment horizontal="left"/>
      <protection hidden="1"/>
    </xf>
    <xf numFmtId="164" fontId="3" fillId="0" borderId="0" xfId="1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4" fillId="0" borderId="0" xfId="0" applyFont="1" applyFill="1" applyProtection="1">
      <protection hidden="1"/>
    </xf>
    <xf numFmtId="164" fontId="3" fillId="0" borderId="0" xfId="1" applyFont="1" applyFill="1" applyAlignment="1" applyProtection="1">
      <alignment horizontal="left"/>
      <protection hidden="1"/>
    </xf>
    <xf numFmtId="0" fontId="4" fillId="0" borderId="0" xfId="0" applyFont="1" applyFill="1" applyBorder="1" applyProtection="1">
      <protection hidden="1"/>
    </xf>
    <xf numFmtId="164" fontId="3" fillId="0" borderId="1" xfId="1" applyFont="1" applyFill="1" applyBorder="1" applyAlignment="1" applyProtection="1">
      <alignment horizontal="center" wrapText="1"/>
      <protection hidden="1"/>
    </xf>
    <xf numFmtId="164" fontId="3" fillId="0" borderId="1" xfId="1" applyFont="1" applyFill="1" applyBorder="1" applyAlignment="1" applyProtection="1">
      <alignment horizontal="left" wrapText="1"/>
      <protection hidden="1"/>
    </xf>
    <xf numFmtId="164" fontId="3" fillId="0" borderId="0" xfId="1" applyFont="1" applyFill="1" applyBorder="1" applyAlignment="1" applyProtection="1">
      <alignment horizontal="center" wrapText="1"/>
      <protection hidden="1"/>
    </xf>
    <xf numFmtId="0" fontId="4" fillId="0" borderId="0" xfId="0" applyFont="1" applyFill="1" applyAlignment="1" applyProtection="1">
      <alignment wrapText="1"/>
      <protection hidden="1"/>
    </xf>
    <xf numFmtId="0" fontId="4" fillId="0" borderId="0" xfId="2" applyFont="1" applyFill="1" applyAlignment="1" applyProtection="1">
      <alignment horizontal="center"/>
      <protection hidden="1"/>
    </xf>
    <xf numFmtId="0" fontId="4" fillId="0" borderId="0" xfId="2" applyFont="1" applyFill="1" applyAlignment="1" applyProtection="1">
      <protection hidden="1"/>
    </xf>
    <xf numFmtId="0" fontId="4" fillId="0" borderId="0" xfId="2" quotePrefix="1" applyFont="1" applyFill="1" applyAlignment="1" applyProtection="1">
      <alignment horizontal="center"/>
      <protection hidden="1"/>
    </xf>
    <xf numFmtId="165" fontId="4" fillId="0" borderId="0" xfId="0" applyNumberFormat="1" applyFont="1" applyFill="1" applyProtection="1">
      <protection hidden="1"/>
    </xf>
    <xf numFmtId="9" fontId="4" fillId="0" borderId="0" xfId="0" applyNumberFormat="1" applyFont="1" applyFill="1" applyBorder="1" applyProtection="1">
      <protection hidden="1"/>
    </xf>
    <xf numFmtId="165" fontId="4" fillId="0" borderId="0" xfId="0" applyNumberFormat="1" applyFont="1" applyFill="1" applyBorder="1" applyProtection="1">
      <protection hidden="1"/>
    </xf>
    <xf numFmtId="164" fontId="3" fillId="0" borderId="0" xfId="1" applyFont="1" applyFill="1" applyProtection="1">
      <protection hidden="1"/>
    </xf>
    <xf numFmtId="164" fontId="4" fillId="0" borderId="0" xfId="1" applyFont="1" applyFill="1" applyBorder="1" applyAlignment="1" applyProtection="1">
      <alignment horizontal="left"/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6" fontId="4" fillId="0" borderId="0" xfId="1" applyNumberFormat="1" applyFont="1" applyFill="1" applyBorder="1" applyAlignment="1" applyProtection="1">
      <protection hidden="1"/>
    </xf>
    <xf numFmtId="164" fontId="3" fillId="0" borderId="0" xfId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Border="1" applyProtection="1">
      <protection hidden="1"/>
    </xf>
    <xf numFmtId="164" fontId="3" fillId="0" borderId="0" xfId="1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166" fontId="4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3" fontId="6" fillId="0" borderId="0" xfId="1" applyNumberFormat="1" applyFont="1" applyFill="1" applyBorder="1" applyAlignment="1" applyProtection="1">
      <alignment horizontal="right"/>
      <protection hidden="1"/>
    </xf>
    <xf numFmtId="3" fontId="6" fillId="0" borderId="0" xfId="1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left" indent="1"/>
      <protection hidden="1"/>
    </xf>
    <xf numFmtId="3" fontId="7" fillId="0" borderId="0" xfId="1" applyNumberFormat="1" applyFont="1" applyFill="1" applyBorder="1" applyAlignment="1" applyProtection="1">
      <alignment horizontal="right"/>
      <protection hidden="1"/>
    </xf>
    <xf numFmtId="3" fontId="7" fillId="0" borderId="0" xfId="1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Border="1" applyAlignment="1" applyProtection="1">
      <alignment horizontal="left" indent="1"/>
      <protection hidden="1"/>
    </xf>
    <xf numFmtId="3" fontId="4" fillId="0" borderId="0" xfId="1" applyNumberFormat="1" applyFont="1" applyFill="1" applyBorder="1" applyAlignment="1" applyProtection="1">
      <alignment horizontal="left"/>
      <protection hidden="1"/>
    </xf>
    <xf numFmtId="165" fontId="7" fillId="0" borderId="0" xfId="0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left"/>
      <protection hidden="1"/>
    </xf>
    <xf numFmtId="167" fontId="4" fillId="0" borderId="0" xfId="0" applyNumberFormat="1" applyFont="1" applyFill="1" applyProtection="1">
      <protection hidden="1"/>
    </xf>
    <xf numFmtId="0" fontId="10" fillId="0" borderId="0" xfId="0" applyFont="1" applyFill="1"/>
    <xf numFmtId="164" fontId="3" fillId="0" borderId="1" xfId="1" applyFont="1" applyFill="1" applyBorder="1" applyAlignment="1" applyProtection="1">
      <alignment horizontal="center" textRotation="90" wrapText="1"/>
      <protection hidden="1"/>
    </xf>
    <xf numFmtId="14" fontId="3" fillId="0" borderId="0" xfId="3" applyNumberFormat="1" applyFont="1" applyFill="1" applyBorder="1" applyAlignment="1" applyProtection="1">
      <alignment horizontal="center" vertical="top"/>
      <protection hidden="1"/>
    </xf>
    <xf numFmtId="164" fontId="3" fillId="0" borderId="0" xfId="3" applyFont="1" applyFill="1" applyBorder="1" applyAlignment="1" applyProtection="1">
      <alignment vertical="top"/>
      <protection hidden="1"/>
    </xf>
    <xf numFmtId="164" fontId="3" fillId="0" borderId="0" xfId="3" applyFont="1" applyFill="1" applyBorder="1" applyAlignment="1" applyProtection="1">
      <alignment vertical="top" wrapText="1"/>
      <protection hidden="1"/>
    </xf>
    <xf numFmtId="14" fontId="4" fillId="0" borderId="0" xfId="3" applyNumberFormat="1" applyFont="1" applyFill="1" applyBorder="1" applyAlignment="1" applyProtection="1">
      <alignment horizontal="center" vertical="top"/>
      <protection hidden="1"/>
    </xf>
    <xf numFmtId="0" fontId="4" fillId="0" borderId="0" xfId="0" applyFont="1" applyFill="1" applyBorder="1" applyAlignment="1" applyProtection="1">
      <alignment vertical="top"/>
      <protection hidden="1"/>
    </xf>
    <xf numFmtId="164" fontId="4" fillId="0" borderId="0" xfId="3" applyFont="1" applyFill="1" applyBorder="1" applyAlignment="1" applyProtection="1">
      <alignment horizontal="left" vertical="top" wrapText="1"/>
      <protection hidden="1"/>
    </xf>
    <xf numFmtId="166" fontId="3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Protection="1">
      <protection hidden="1"/>
    </xf>
    <xf numFmtId="166" fontId="4" fillId="0" borderId="0" xfId="0" applyNumberFormat="1" applyFont="1" applyFill="1" applyAlignment="1" applyProtection="1">
      <alignment horizontal="center"/>
      <protection hidden="1"/>
    </xf>
    <xf numFmtId="14" fontId="0" fillId="0" borderId="0" xfId="0" applyNumberFormat="1"/>
    <xf numFmtId="0" fontId="0" fillId="0" borderId="0" xfId="0" applyAlignment="1">
      <alignment wrapText="1"/>
    </xf>
    <xf numFmtId="168" fontId="4" fillId="0" borderId="0" xfId="0" applyNumberFormat="1" applyFont="1" applyFill="1" applyBorder="1" applyProtection="1"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1" xfId="0" applyFont="1" applyFill="1" applyBorder="1" applyProtection="1">
      <protection hidden="1"/>
    </xf>
    <xf numFmtId="0" fontId="4" fillId="0" borderId="1" xfId="0" applyFont="1" applyFill="1" applyBorder="1" applyAlignment="1" applyProtection="1">
      <alignment horizontal="center"/>
      <protection hidden="1"/>
    </xf>
    <xf numFmtId="0" fontId="11" fillId="0" borderId="0" xfId="0" applyFont="1" applyFill="1" applyProtection="1">
      <protection hidden="1"/>
    </xf>
    <xf numFmtId="166" fontId="4" fillId="0" borderId="1" xfId="0" applyNumberFormat="1" applyFont="1" applyFill="1" applyBorder="1" applyProtection="1">
      <protection hidden="1"/>
    </xf>
    <xf numFmtId="0" fontId="4" fillId="0" borderId="0" xfId="2" applyFont="1" applyFill="1" applyAlignment="1" applyProtection="1">
      <alignment wrapText="1"/>
      <protection hidden="1"/>
    </xf>
    <xf numFmtId="49" fontId="4" fillId="0" borderId="0" xfId="2" applyNumberFormat="1" applyFont="1" applyFill="1" applyAlignment="1" applyProtection="1">
      <alignment horizontal="center"/>
      <protection hidden="1"/>
    </xf>
    <xf numFmtId="0" fontId="0" fillId="0" borderId="1" xfId="0" applyBorder="1"/>
    <xf numFmtId="49" fontId="4" fillId="0" borderId="1" xfId="2" applyNumberFormat="1" applyFont="1" applyFill="1" applyBorder="1" applyAlignment="1" applyProtection="1">
      <alignment horizontal="center"/>
      <protection hidden="1"/>
    </xf>
    <xf numFmtId="49" fontId="3" fillId="0" borderId="0" xfId="1" applyNumberFormat="1" applyFont="1" applyFill="1" applyAlignment="1" applyProtection="1">
      <alignment horizontal="center"/>
      <protection hidden="1"/>
    </xf>
    <xf numFmtId="49" fontId="3" fillId="0" borderId="1" xfId="1" applyNumberFormat="1" applyFont="1" applyFill="1" applyBorder="1" applyAlignment="1" applyProtection="1">
      <alignment horizontal="center" wrapText="1"/>
      <protection hidden="1"/>
    </xf>
    <xf numFmtId="49" fontId="4" fillId="0" borderId="0" xfId="2" quotePrefix="1" applyNumberFormat="1" applyFont="1" applyFill="1" applyAlignment="1" applyProtection="1">
      <alignment horizontal="center"/>
      <protection hidden="1"/>
    </xf>
    <xf numFmtId="49" fontId="4" fillId="0" borderId="0" xfId="1" applyNumberFormat="1" applyFont="1" applyFill="1" applyBorder="1" applyAlignment="1" applyProtection="1">
      <alignment horizontal="center"/>
      <protection hidden="1"/>
    </xf>
    <xf numFmtId="49" fontId="4" fillId="0" borderId="0" xfId="0" applyNumberFormat="1" applyFont="1" applyFill="1" applyBorder="1" applyProtection="1">
      <protection hidden="1"/>
    </xf>
    <xf numFmtId="49" fontId="3" fillId="0" borderId="0" xfId="1" applyNumberFormat="1" applyFont="1" applyFill="1" applyBorder="1" applyAlignment="1" applyProtection="1">
      <alignment horizontal="center"/>
      <protection hidden="1"/>
    </xf>
    <xf numFmtId="49" fontId="3" fillId="0" borderId="0" xfId="0" applyNumberFormat="1" applyFont="1" applyFill="1" applyProtection="1">
      <protection hidden="1"/>
    </xf>
    <xf numFmtId="49" fontId="4" fillId="0" borderId="0" xfId="0" applyNumberFormat="1" applyFont="1" applyFill="1" applyProtection="1">
      <protection hidden="1"/>
    </xf>
    <xf numFmtId="49" fontId="6" fillId="0" borderId="0" xfId="1" applyNumberFormat="1" applyFont="1" applyFill="1" applyBorder="1" applyAlignment="1" applyProtection="1">
      <alignment horizontal="center"/>
      <protection hidden="1"/>
    </xf>
    <xf numFmtId="49" fontId="7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wrapText="1"/>
      <protection hidden="1"/>
    </xf>
    <xf numFmtId="166" fontId="4" fillId="2" borderId="0" xfId="0" applyNumberFormat="1" applyFont="1" applyFill="1" applyProtection="1">
      <protection hidden="1"/>
    </xf>
    <xf numFmtId="0" fontId="3" fillId="2" borderId="0" xfId="0" applyFont="1" applyFill="1" applyProtection="1">
      <protection hidden="1"/>
    </xf>
    <xf numFmtId="168" fontId="4" fillId="2" borderId="0" xfId="0" applyNumberFormat="1" applyFont="1" applyFill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10" fillId="0" borderId="0" xfId="0" applyFont="1" applyFill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164" fontId="3" fillId="2" borderId="1" xfId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wrapText="1"/>
      <protection hidden="1"/>
    </xf>
    <xf numFmtId="0" fontId="3" fillId="3" borderId="1" xfId="0" applyFont="1" applyFill="1" applyBorder="1" applyAlignment="1" applyProtection="1">
      <alignment horizontal="center" wrapText="1"/>
      <protection hidden="1"/>
    </xf>
    <xf numFmtId="164" fontId="3" fillId="3" borderId="1" xfId="1" applyFont="1" applyFill="1" applyBorder="1" applyAlignment="1" applyProtection="1">
      <alignment horizontal="center" wrapText="1"/>
      <protection hidden="1"/>
    </xf>
    <xf numFmtId="49" fontId="4" fillId="3" borderId="0" xfId="0" applyNumberFormat="1" applyFont="1" applyFill="1" applyAlignment="1" applyProtection="1">
      <alignment horizontal="center"/>
      <protection hidden="1"/>
    </xf>
    <xf numFmtId="166" fontId="4" fillId="3" borderId="0" xfId="0" applyNumberFormat="1" applyFont="1" applyFill="1" applyAlignment="1" applyProtection="1">
      <alignment horizontal="center"/>
      <protection hidden="1"/>
    </xf>
    <xf numFmtId="0" fontId="3" fillId="3" borderId="0" xfId="0" applyFont="1" applyFill="1" applyProtection="1"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3" fillId="4" borderId="1" xfId="0" applyFont="1" applyFill="1" applyBorder="1" applyAlignment="1" applyProtection="1">
      <alignment horizontal="center" wrapText="1"/>
      <protection hidden="1"/>
    </xf>
    <xf numFmtId="0" fontId="3" fillId="4" borderId="1" xfId="0" applyFont="1" applyFill="1" applyBorder="1" applyAlignment="1" applyProtection="1">
      <alignment wrapText="1"/>
      <protection hidden="1"/>
    </xf>
    <xf numFmtId="164" fontId="3" fillId="4" borderId="1" xfId="1" applyFont="1" applyFill="1" applyBorder="1" applyAlignment="1" applyProtection="1">
      <alignment horizontal="center" wrapText="1"/>
      <protection hidden="1"/>
    </xf>
    <xf numFmtId="49" fontId="4" fillId="4" borderId="0" xfId="0" applyNumberFormat="1" applyFont="1" applyFill="1" applyProtection="1">
      <protection hidden="1"/>
    </xf>
    <xf numFmtId="166" fontId="4" fillId="4" borderId="0" xfId="0" applyNumberFormat="1" applyFont="1" applyFill="1" applyProtection="1">
      <protection hidden="1"/>
    </xf>
    <xf numFmtId="0" fontId="3" fillId="4" borderId="0" xfId="0" applyFont="1" applyFill="1" applyProtection="1">
      <protection hidden="1"/>
    </xf>
    <xf numFmtId="10" fontId="4" fillId="3" borderId="0" xfId="0" applyNumberFormat="1" applyFont="1" applyFill="1" applyAlignment="1" applyProtection="1">
      <alignment horizontal="center"/>
      <protection hidden="1"/>
    </xf>
    <xf numFmtId="17" fontId="4" fillId="3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" fillId="0" borderId="0" xfId="0" applyFont="1" applyFill="1" applyAlignment="1" applyProtection="1">
      <alignment horizontal="left" indent="1"/>
      <protection hidden="1"/>
    </xf>
    <xf numFmtId="0" fontId="12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left" indent="1"/>
      <protection hidden="1"/>
    </xf>
    <xf numFmtId="0" fontId="4" fillId="0" borderId="0" xfId="0" applyFont="1" applyFill="1" applyBorder="1" applyAlignment="1" applyProtection="1">
      <alignment horizontal="left" indent="2"/>
      <protection hidden="1"/>
    </xf>
    <xf numFmtId="0" fontId="3" fillId="0" borderId="0" xfId="0" applyFont="1" applyFill="1" applyBorder="1" applyAlignment="1" applyProtection="1">
      <alignment horizontal="left" indent="1"/>
      <protection hidden="1"/>
    </xf>
    <xf numFmtId="0" fontId="4" fillId="0" borderId="0" xfId="0" applyFont="1" applyFill="1" applyAlignment="1" applyProtection="1">
      <alignment horizontal="left" indent="2"/>
      <protection hidden="1"/>
    </xf>
    <xf numFmtId="166" fontId="3" fillId="4" borderId="1" xfId="1" applyNumberFormat="1" applyFont="1" applyFill="1" applyBorder="1" applyAlignment="1" applyProtection="1">
      <alignment horizontal="center" wrapText="1"/>
      <protection hidden="1"/>
    </xf>
    <xf numFmtId="166" fontId="3" fillId="4" borderId="0" xfId="0" applyNumberFormat="1" applyFont="1" applyFill="1" applyProtection="1">
      <protection hidden="1"/>
    </xf>
    <xf numFmtId="164" fontId="4" fillId="0" borderId="0" xfId="1" applyFont="1" applyFill="1" applyAlignment="1" applyProtection="1">
      <alignment horizontal="left" indent="1"/>
      <protection hidden="1"/>
    </xf>
    <xf numFmtId="164" fontId="4" fillId="0" borderId="0" xfId="1" applyFont="1" applyFill="1" applyAlignment="1" applyProtection="1">
      <alignment horizontal="left"/>
      <protection hidden="1"/>
    </xf>
    <xf numFmtId="0" fontId="4" fillId="0" borderId="0" xfId="0" applyFont="1" applyFill="1" applyAlignment="1" applyProtection="1">
      <protection hidden="1"/>
    </xf>
    <xf numFmtId="164" fontId="4" fillId="0" borderId="0" xfId="1" applyFont="1" applyFill="1" applyBorder="1" applyAlignment="1" applyProtection="1">
      <protection hidden="1"/>
    </xf>
    <xf numFmtId="3" fontId="4" fillId="0" borderId="0" xfId="1" applyNumberFormat="1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protection hidden="1"/>
    </xf>
    <xf numFmtId="166" fontId="4" fillId="5" borderId="0" xfId="0" applyNumberFormat="1" applyFont="1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left" indent="1"/>
      <protection hidden="1"/>
    </xf>
    <xf numFmtId="166" fontId="4" fillId="3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left" wrapText="1" indent="2"/>
      <protection hidden="1"/>
    </xf>
    <xf numFmtId="166" fontId="4" fillId="0" borderId="0" xfId="0" applyNumberFormat="1" applyFont="1" applyFill="1" applyBorder="1" applyAlignment="1" applyProtection="1">
      <alignment horizontal="left" indent="1"/>
      <protection hidden="1"/>
    </xf>
  </cellXfs>
  <cellStyles count="4">
    <cellStyle name="Normal" xfId="0" builtinId="0"/>
    <cellStyle name="Normal_1998SalOrd" xfId="3" xr:uid="{4AA900F2-7CB0-4A7C-96BD-B99FA4163539}"/>
    <cellStyle name="Normal_cma SALORD200020012002" xfId="1" xr:uid="{00000000-0005-0000-0000-000001000000}"/>
    <cellStyle name="PSChar" xfId="2" xr:uid="{00000000-0005-0000-0000-000002000000}"/>
  </cellStyles>
  <dxfs count="0"/>
  <tableStyles count="1" defaultTableStyle="TableStyleMedium2" defaultPivotStyle="PivotStyleLight16">
    <tableStyle name="Invisible" pivot="0" table="0" count="0" xr9:uid="{B64A0DE8-5589-4800-947C-E610BC28A7B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Human%20Resources\LABOR\0%20Compensation\Job%20Code%20Table\Job%20Code%20Table%2012-17-2024.xlsx" TargetMode="External"/><Relationship Id="rId1" Type="http://schemas.openxmlformats.org/officeDocument/2006/relationships/externalLinkPath" Target="/Human%20Resources/LABOR/0%20Compensation/Job%20Code%20Table/Job%20Code%20Table%2012-17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3"/>
      <sheetName val="sheet1"/>
    </sheetNames>
    <sheetDataSet>
      <sheetData sheetId="0"/>
      <sheetData sheetId="1">
        <row r="319">
          <cell r="A319" t="str">
            <v>52939C</v>
          </cell>
          <cell r="B319" t="str">
            <v>Sr Water Distribution Operator</v>
          </cell>
          <cell r="C319" t="str">
            <v>CAW</v>
          </cell>
          <cell r="D319" t="str">
            <v>02</v>
          </cell>
          <cell r="F319">
            <v>30.449000000000002</v>
          </cell>
          <cell r="G319">
            <v>31.898</v>
          </cell>
          <cell r="H319">
            <v>33.417000000000002</v>
          </cell>
          <cell r="I319">
            <v>35.009</v>
          </cell>
        </row>
        <row r="320">
          <cell r="A320" t="str">
            <v>52917C</v>
          </cell>
          <cell r="B320" t="str">
            <v>Water Distr Operator Trainee</v>
          </cell>
          <cell r="C320" t="str">
            <v>CAW</v>
          </cell>
          <cell r="D320" t="str">
            <v>04</v>
          </cell>
          <cell r="F320">
            <v>21.097999999999999</v>
          </cell>
          <cell r="G320">
            <v>23.35</v>
          </cell>
        </row>
        <row r="321">
          <cell r="A321" t="str">
            <v>52938C</v>
          </cell>
          <cell r="B321" t="str">
            <v>Water Distribution Operator</v>
          </cell>
          <cell r="C321" t="str">
            <v>CAW</v>
          </cell>
          <cell r="D321" t="str">
            <v>01</v>
          </cell>
          <cell r="F321">
            <v>28.552</v>
          </cell>
          <cell r="G321">
            <v>29.966000000000001</v>
          </cell>
          <cell r="H321">
            <v>31.452000000000002</v>
          </cell>
          <cell r="I321">
            <v>33.012999999999998</v>
          </cell>
        </row>
        <row r="322">
          <cell r="A322" t="str">
            <v>59489C</v>
          </cell>
          <cell r="B322" t="str">
            <v>Water Loss &amp; Svc Connct Insp-C</v>
          </cell>
          <cell r="C322" t="str">
            <v>CAW</v>
          </cell>
          <cell r="D322" t="str">
            <v>10</v>
          </cell>
          <cell r="F322">
            <v>35.002000000000002</v>
          </cell>
          <cell r="G322">
            <v>0</v>
          </cell>
          <cell r="H322">
            <v>0</v>
          </cell>
          <cell r="I322">
            <v>40.825000000000003</v>
          </cell>
        </row>
        <row r="323">
          <cell r="A323" t="str">
            <v>52951C</v>
          </cell>
          <cell r="B323" t="str">
            <v>Water Loss Specialist</v>
          </cell>
          <cell r="C323" t="str">
            <v>CAW</v>
          </cell>
          <cell r="D323" t="str">
            <v>09</v>
          </cell>
          <cell r="F323">
            <v>33.822000000000003</v>
          </cell>
          <cell r="G323">
            <v>35.390999999999998</v>
          </cell>
          <cell r="H323">
            <v>37.040999999999997</v>
          </cell>
          <cell r="I323">
            <v>38.771000000000001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showGridLines="0" workbookViewId="0">
      <selection activeCell="E13" sqref="E13"/>
    </sheetView>
  </sheetViews>
  <sheetFormatPr defaultColWidth="9.140625" defaultRowHeight="15" x14ac:dyDescent="0.25"/>
  <cols>
    <col min="1" max="1" width="10" style="4" customWidth="1"/>
    <col min="2" max="2" width="5.5703125" style="4" customWidth="1"/>
    <col min="3" max="3" width="7.28515625" style="4" customWidth="1"/>
    <col min="4" max="4" width="7.140625" style="4" customWidth="1"/>
    <col min="5" max="5" width="42.5703125" style="4" customWidth="1"/>
    <col min="6" max="6" width="4.140625" style="4" bestFit="1" customWidth="1"/>
    <col min="7" max="7" width="6.5703125" style="4" bestFit="1" customWidth="1"/>
    <col min="8" max="8" width="5.28515625" style="4" bestFit="1" customWidth="1"/>
    <col min="9" max="9" width="8.5703125" style="4" bestFit="1" customWidth="1"/>
    <col min="10" max="10" width="7.85546875" style="4" customWidth="1"/>
    <col min="11" max="11" width="7.5703125" style="4" bestFit="1" customWidth="1"/>
    <col min="12" max="12" width="7.85546875" style="4" customWidth="1"/>
    <col min="13" max="13" width="8.7109375" style="4" customWidth="1"/>
    <col min="14" max="16384" width="9.140625" style="4"/>
  </cols>
  <sheetData>
    <row r="1" spans="1:13" ht="18.75" x14ac:dyDescent="0.3">
      <c r="A1" s="1" t="s">
        <v>0</v>
      </c>
      <c r="B1" s="2"/>
      <c r="C1" s="2"/>
      <c r="D1" s="2"/>
      <c r="E1" s="2"/>
      <c r="F1" s="2"/>
      <c r="G1" s="3"/>
      <c r="H1" s="3"/>
      <c r="I1" s="3"/>
    </row>
    <row r="2" spans="1:13" x14ac:dyDescent="0.25">
      <c r="A2" s="5" t="s">
        <v>73</v>
      </c>
      <c r="B2" s="2"/>
      <c r="C2" s="2"/>
      <c r="D2" s="2"/>
      <c r="E2" s="2"/>
      <c r="F2" s="2"/>
      <c r="G2" s="3"/>
      <c r="H2" s="3"/>
      <c r="I2" s="3"/>
    </row>
    <row r="3" spans="1:13" x14ac:dyDescent="0.25">
      <c r="A3" s="5" t="s">
        <v>74</v>
      </c>
      <c r="B3" s="5"/>
      <c r="C3" s="5"/>
      <c r="D3" s="5"/>
      <c r="E3" s="2"/>
      <c r="F3" s="2"/>
      <c r="G3" s="3"/>
      <c r="H3" s="3"/>
      <c r="I3" s="3"/>
    </row>
    <row r="4" spans="1:13" ht="11.25" customHeight="1" x14ac:dyDescent="0.25">
      <c r="B4" s="2"/>
      <c r="C4" s="2"/>
      <c r="D4" s="2"/>
      <c r="E4" s="2"/>
      <c r="F4" s="2"/>
      <c r="G4" s="3"/>
      <c r="H4" s="3"/>
      <c r="I4" s="3"/>
    </row>
    <row r="5" spans="1:13" s="10" customFormat="1" ht="69" customHeight="1" x14ac:dyDescent="0.25">
      <c r="A5" s="7" t="s">
        <v>1</v>
      </c>
      <c r="B5" s="7" t="s">
        <v>70</v>
      </c>
      <c r="C5" s="7" t="s">
        <v>71</v>
      </c>
      <c r="D5" s="7" t="s">
        <v>2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M5" s="9"/>
    </row>
    <row r="6" spans="1:13" x14ac:dyDescent="0.25">
      <c r="A6" s="11" t="s">
        <v>8</v>
      </c>
      <c r="B6" s="11">
        <v>2</v>
      </c>
      <c r="C6" s="12" t="s">
        <v>9</v>
      </c>
      <c r="D6" s="13" t="s">
        <v>10</v>
      </c>
      <c r="E6" s="6" t="s">
        <v>11</v>
      </c>
      <c r="F6" s="3">
        <v>313</v>
      </c>
      <c r="G6" s="3">
        <v>6</v>
      </c>
      <c r="H6" s="3" t="s">
        <v>12</v>
      </c>
      <c r="I6" s="50">
        <v>24.923886469652484</v>
      </c>
      <c r="J6" s="50">
        <v>26.19116324687381</v>
      </c>
      <c r="K6" s="50">
        <v>27.488724211786081</v>
      </c>
      <c r="L6" s="50">
        <v>28.853842210778172</v>
      </c>
      <c r="M6" s="15"/>
    </row>
    <row r="7" spans="1:13" x14ac:dyDescent="0.25">
      <c r="A7" s="11" t="s">
        <v>8</v>
      </c>
      <c r="B7" s="11">
        <v>2</v>
      </c>
      <c r="C7" s="12" t="s">
        <v>13</v>
      </c>
      <c r="D7" s="13" t="s">
        <v>14</v>
      </c>
      <c r="E7" s="6" t="s">
        <v>15</v>
      </c>
      <c r="F7" s="3">
        <v>363</v>
      </c>
      <c r="G7" s="3">
        <v>8</v>
      </c>
      <c r="H7" s="3" t="s">
        <v>12</v>
      </c>
      <c r="I7" s="50">
        <v>32.691107342356823</v>
      </c>
      <c r="J7" s="50">
        <v>34.333102881089474</v>
      </c>
      <c r="K7" s="50">
        <v>36.040687773297691</v>
      </c>
      <c r="L7" s="51" t="s">
        <v>16</v>
      </c>
    </row>
    <row r="8" spans="1:13" x14ac:dyDescent="0.25">
      <c r="A8" s="11" t="s">
        <v>8</v>
      </c>
      <c r="B8" s="11">
        <v>2</v>
      </c>
      <c r="C8" s="12" t="s">
        <v>17</v>
      </c>
      <c r="D8" s="13" t="s">
        <v>18</v>
      </c>
      <c r="E8" s="6" t="s">
        <v>19</v>
      </c>
      <c r="F8" s="3">
        <v>268</v>
      </c>
      <c r="G8" s="3">
        <v>5</v>
      </c>
      <c r="H8" s="3" t="s">
        <v>12</v>
      </c>
      <c r="I8" s="50">
        <v>23.7090246326655</v>
      </c>
      <c r="J8" s="50">
        <v>24.895931834860832</v>
      </c>
      <c r="K8" s="50">
        <v>26.124770989243647</v>
      </c>
      <c r="L8" s="50">
        <v>27.43514449510209</v>
      </c>
      <c r="M8" s="15"/>
    </row>
    <row r="9" spans="1:13" x14ac:dyDescent="0.25">
      <c r="A9" s="11" t="s">
        <v>8</v>
      </c>
      <c r="B9" s="11">
        <v>2</v>
      </c>
      <c r="C9" s="12" t="s">
        <v>20</v>
      </c>
      <c r="D9" s="13" t="s">
        <v>21</v>
      </c>
      <c r="E9" s="6" t="s">
        <v>22</v>
      </c>
      <c r="F9" s="3">
        <v>250</v>
      </c>
      <c r="G9" s="3">
        <v>5</v>
      </c>
      <c r="H9" s="3" t="s">
        <v>12</v>
      </c>
      <c r="I9" s="50">
        <v>23.73464971455784</v>
      </c>
      <c r="J9" s="50">
        <v>25.223234017213038</v>
      </c>
      <c r="K9" s="50">
        <v>25.905793016709076</v>
      </c>
      <c r="L9" s="50">
        <v>26.832955070632035</v>
      </c>
    </row>
    <row r="10" spans="1:13" x14ac:dyDescent="0.25">
      <c r="A10" s="11" t="s">
        <v>8</v>
      </c>
      <c r="B10" s="11">
        <v>2</v>
      </c>
      <c r="C10" s="12" t="s">
        <v>23</v>
      </c>
      <c r="D10" s="13" t="s">
        <v>24</v>
      </c>
      <c r="E10" s="6" t="s">
        <v>25</v>
      </c>
      <c r="F10" s="3">
        <v>285</v>
      </c>
      <c r="G10" s="3">
        <v>6</v>
      </c>
      <c r="H10" s="3" t="s">
        <v>12</v>
      </c>
      <c r="I10" s="50">
        <v>24.976301409886823</v>
      </c>
      <c r="J10" s="50">
        <v>26.097981130901651</v>
      </c>
      <c r="K10" s="50">
        <v>27.17539934682971</v>
      </c>
      <c r="L10" s="50">
        <v>28.554494663217625</v>
      </c>
      <c r="M10" s="15"/>
    </row>
    <row r="11" spans="1:13" x14ac:dyDescent="0.25">
      <c r="A11" s="11" t="s">
        <v>8</v>
      </c>
      <c r="B11" s="11">
        <v>2</v>
      </c>
      <c r="C11" t="s">
        <v>90</v>
      </c>
      <c r="D11" s="61" t="s">
        <v>21</v>
      </c>
      <c r="E11" s="6" t="s">
        <v>56</v>
      </c>
      <c r="F11" s="3">
        <v>265</v>
      </c>
      <c r="G11" s="3">
        <v>5</v>
      </c>
      <c r="H11" s="3" t="s">
        <v>12</v>
      </c>
      <c r="I11" s="14">
        <v>23.940999999999999</v>
      </c>
      <c r="J11" s="14">
        <v>25.138000000000002</v>
      </c>
      <c r="K11" s="14">
        <v>26.395</v>
      </c>
      <c r="L11" s="14">
        <v>27.715</v>
      </c>
      <c r="M11" s="15"/>
    </row>
    <row r="12" spans="1:13" x14ac:dyDescent="0.25">
      <c r="A12" s="11" t="s">
        <v>8</v>
      </c>
      <c r="B12" s="11">
        <v>2</v>
      </c>
      <c r="C12" t="s">
        <v>91</v>
      </c>
      <c r="D12" s="61" t="s">
        <v>92</v>
      </c>
      <c r="E12" s="6" t="s">
        <v>57</v>
      </c>
      <c r="F12" s="3">
        <v>310</v>
      </c>
      <c r="G12" s="3">
        <v>6</v>
      </c>
      <c r="H12" s="3" t="s">
        <v>12</v>
      </c>
      <c r="I12" s="4">
        <v>25.545999999999999</v>
      </c>
      <c r="J12" s="4">
        <v>26.771999999999998</v>
      </c>
      <c r="K12" s="4">
        <v>28.056999999999999</v>
      </c>
      <c r="L12" s="4">
        <v>29.404</v>
      </c>
      <c r="M12" s="15"/>
    </row>
    <row r="13" spans="1:13" x14ac:dyDescent="0.25">
      <c r="A13" s="11"/>
      <c r="B13" s="11"/>
      <c r="C13" s="12"/>
      <c r="D13" s="12"/>
      <c r="E13" s="6"/>
      <c r="F13" s="3"/>
      <c r="G13" s="3"/>
      <c r="H13" s="3"/>
      <c r="M13" s="15"/>
    </row>
    <row r="14" spans="1:13" x14ac:dyDescent="0.25">
      <c r="A14" s="17" t="s">
        <v>26</v>
      </c>
      <c r="B14" s="2"/>
      <c r="C14" s="2"/>
      <c r="D14" s="2"/>
      <c r="E14" s="17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18" t="s">
        <v>27</v>
      </c>
      <c r="B15" s="19"/>
      <c r="C15" s="19"/>
      <c r="D15" s="19"/>
      <c r="E15" s="19"/>
      <c r="F15" s="19"/>
      <c r="G15" s="19"/>
      <c r="H15" s="19"/>
      <c r="I15"/>
      <c r="J15"/>
      <c r="K15"/>
      <c r="L15"/>
      <c r="M15"/>
    </row>
    <row r="16" spans="1:13" x14ac:dyDescent="0.25">
      <c r="A16" s="18" t="s">
        <v>28</v>
      </c>
      <c r="B16" s="19"/>
      <c r="C16" s="19"/>
      <c r="D16" s="19"/>
      <c r="E16" s="19"/>
      <c r="F16" s="19"/>
      <c r="G16" s="19"/>
      <c r="H16" s="19"/>
      <c r="I16"/>
      <c r="J16"/>
      <c r="K16"/>
      <c r="L16"/>
      <c r="M16"/>
    </row>
    <row r="17" spans="1:13" x14ac:dyDescent="0.25">
      <c r="A17" s="20">
        <v>0.30400665335915966</v>
      </c>
      <c r="B17" s="18" t="s">
        <v>29</v>
      </c>
      <c r="C17" s="6"/>
      <c r="D17" s="6"/>
      <c r="E17" s="19"/>
      <c r="F17" s="19"/>
      <c r="G17" s="19"/>
      <c r="H17" s="21"/>
      <c r="I17" s="21"/>
      <c r="J17" s="16"/>
      <c r="K17" s="21"/>
      <c r="L17" s="21"/>
      <c r="M17" s="2"/>
    </row>
    <row r="18" spans="1:13" x14ac:dyDescent="0.25">
      <c r="A18" s="20">
        <v>0.42514340412296281</v>
      </c>
      <c r="B18" s="18" t="s">
        <v>30</v>
      </c>
      <c r="C18" s="6"/>
      <c r="D18" s="6"/>
      <c r="E18" s="19"/>
      <c r="F18" s="19"/>
      <c r="G18" s="19"/>
      <c r="H18" s="21"/>
      <c r="I18" s="21"/>
      <c r="J18" s="16"/>
      <c r="K18" s="21"/>
      <c r="L18" s="21"/>
      <c r="M18" s="2"/>
    </row>
    <row r="19" spans="1:13" x14ac:dyDescent="0.25">
      <c r="A19" s="20">
        <v>0.51483119074616301</v>
      </c>
      <c r="B19" s="18" t="s">
        <v>31</v>
      </c>
      <c r="C19" s="6"/>
      <c r="D19" s="6"/>
      <c r="E19" s="19"/>
      <c r="F19" s="19"/>
      <c r="G19" s="19"/>
      <c r="H19" s="21"/>
      <c r="I19" s="21"/>
      <c r="J19" s="16"/>
      <c r="K19" s="21"/>
      <c r="L19" s="21"/>
      <c r="M19" s="2"/>
    </row>
    <row r="20" spans="1:13" x14ac:dyDescent="0.25">
      <c r="A20" s="22">
        <v>0.60451897736936344</v>
      </c>
      <c r="B20" s="18" t="s">
        <v>32</v>
      </c>
      <c r="C20" s="6"/>
      <c r="D20" s="19"/>
      <c r="E20" s="19"/>
      <c r="F20" s="19"/>
      <c r="G20" s="19"/>
      <c r="H20" s="21"/>
      <c r="I20" s="21"/>
      <c r="J20" s="16"/>
      <c r="K20" s="21"/>
      <c r="L20" s="21"/>
      <c r="M20" s="2"/>
    </row>
    <row r="21" spans="1:13" x14ac:dyDescent="0.25">
      <c r="A21" s="17"/>
      <c r="B21" s="2"/>
      <c r="C21" s="2"/>
      <c r="D21" s="2"/>
      <c r="E21" s="17"/>
      <c r="F21" s="2"/>
      <c r="G21" s="2"/>
      <c r="H21" s="2"/>
      <c r="I21" s="2"/>
      <c r="J21" s="2"/>
      <c r="K21" s="2"/>
      <c r="L21" s="2"/>
      <c r="M21" s="2"/>
    </row>
    <row r="22" spans="1:13" x14ac:dyDescent="0.25">
      <c r="A22" s="23" t="s">
        <v>33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"/>
    </row>
    <row r="23" spans="1:13" x14ac:dyDescent="0.25">
      <c r="A23" s="18" t="s">
        <v>34</v>
      </c>
      <c r="B23" s="19"/>
      <c r="C23" s="19"/>
      <c r="D23" s="19"/>
      <c r="E23" s="19"/>
      <c r="F23" s="19"/>
      <c r="G23" s="19"/>
      <c r="H23" s="19"/>
      <c r="I23" s="21"/>
      <c r="J23" s="21"/>
      <c r="K23" s="21"/>
      <c r="L23" s="21"/>
      <c r="M23" s="2"/>
    </row>
    <row r="24" spans="1:13" x14ac:dyDescent="0.25">
      <c r="A24" s="18" t="s">
        <v>35</v>
      </c>
      <c r="B24" s="19"/>
      <c r="C24" s="19"/>
      <c r="D24" s="19"/>
      <c r="E24" s="19"/>
      <c r="F24" s="19"/>
      <c r="G24" s="19"/>
      <c r="H24" s="19"/>
      <c r="I24" s="21"/>
      <c r="J24" s="21"/>
      <c r="K24" s="21"/>
      <c r="L24" s="21"/>
      <c r="M24" s="2"/>
    </row>
    <row r="25" spans="1:13" x14ac:dyDescent="0.25">
      <c r="A25" s="18" t="s">
        <v>36</v>
      </c>
      <c r="B25" s="19"/>
      <c r="C25" s="19"/>
      <c r="D25" s="19"/>
      <c r="E25" s="19"/>
      <c r="F25" s="19"/>
      <c r="G25" s="19"/>
      <c r="H25" s="19"/>
      <c r="I25" s="21"/>
      <c r="J25" s="21"/>
      <c r="K25" s="21"/>
      <c r="L25" s="21"/>
      <c r="M25" s="2"/>
    </row>
    <row r="26" spans="1:13" x14ac:dyDescent="0.25">
      <c r="A26" s="18"/>
      <c r="B26" s="19"/>
      <c r="C26" s="19"/>
      <c r="D26" s="19"/>
      <c r="E26" s="19"/>
      <c r="F26" s="19"/>
      <c r="G26" s="19"/>
      <c r="H26" s="19"/>
      <c r="I26" s="21"/>
      <c r="J26" s="21"/>
      <c r="K26" s="21"/>
      <c r="L26" s="21"/>
      <c r="M26" s="2"/>
    </row>
    <row r="27" spans="1:13" x14ac:dyDescent="0.25">
      <c r="A27" s="24" t="s">
        <v>37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spans="1:13" x14ac:dyDescent="0.25">
      <c r="A28" s="24" t="s">
        <v>38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spans="1:13" x14ac:dyDescent="0.25">
      <c r="A29" s="22">
        <v>0.34244427619767404</v>
      </c>
      <c r="B29" s="18" t="s">
        <v>39</v>
      </c>
      <c r="C29" s="6"/>
      <c r="D29" s="25"/>
      <c r="E29" s="6"/>
      <c r="F29" s="19"/>
      <c r="G29" s="19"/>
      <c r="H29" s="19"/>
      <c r="I29" s="19"/>
      <c r="J29" s="19"/>
      <c r="K29" s="21"/>
      <c r="L29" s="21"/>
      <c r="M29" s="21"/>
    </row>
    <row r="30" spans="1:13" x14ac:dyDescent="0.25">
      <c r="A30" s="22">
        <v>0.34244427619767404</v>
      </c>
      <c r="B30" s="18" t="s">
        <v>40</v>
      </c>
      <c r="C30" s="6"/>
      <c r="D30" s="25"/>
      <c r="E30" s="6"/>
      <c r="F30" s="19"/>
      <c r="G30" s="19"/>
      <c r="H30" s="19"/>
      <c r="I30" s="19"/>
      <c r="J30" s="19"/>
      <c r="K30" s="21"/>
      <c r="L30" s="21"/>
      <c r="M30" s="21"/>
    </row>
    <row r="31" spans="1:13" x14ac:dyDescent="0.25">
      <c r="A31" s="22">
        <v>0.82466172635358237</v>
      </c>
      <c r="B31" s="18" t="s">
        <v>41</v>
      </c>
      <c r="C31" s="6"/>
      <c r="D31" s="25"/>
      <c r="E31" s="6"/>
      <c r="F31" s="19"/>
      <c r="G31" s="19"/>
      <c r="H31" s="19"/>
      <c r="I31" s="19"/>
      <c r="J31" s="19"/>
      <c r="K31" s="21"/>
      <c r="L31" s="21"/>
      <c r="M31" s="21"/>
    </row>
    <row r="32" spans="1:13" x14ac:dyDescent="0.25">
      <c r="A32" s="22">
        <v>0.38554100483479636</v>
      </c>
      <c r="B32" s="6" t="s">
        <v>42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22">
        <v>1.1263388268134382</v>
      </c>
      <c r="B33" s="6" t="s">
        <v>43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5" spans="1:13" s="26" customFormat="1" x14ac:dyDescent="0.25">
      <c r="A35" s="26" t="s">
        <v>44</v>
      </c>
    </row>
    <row r="36" spans="1:13" x14ac:dyDescent="0.25">
      <c r="B36" s="26" t="s">
        <v>45</v>
      </c>
    </row>
    <row r="37" spans="1:13" x14ac:dyDescent="0.25">
      <c r="A37" s="50">
        <v>0.2793086562499999</v>
      </c>
      <c r="B37" s="4" t="s">
        <v>46</v>
      </c>
    </row>
    <row r="38" spans="1:13" x14ac:dyDescent="0.25">
      <c r="A38" s="50">
        <v>0.54787467187499994</v>
      </c>
      <c r="B38" s="4" t="s">
        <v>47</v>
      </c>
    </row>
    <row r="39" spans="1:13" x14ac:dyDescent="0.25">
      <c r="A39" s="50">
        <v>0.82718332812499973</v>
      </c>
      <c r="B39" s="4" t="s">
        <v>48</v>
      </c>
    </row>
    <row r="40" spans="1:13" x14ac:dyDescent="0.25">
      <c r="A40" s="50">
        <v>1.1064919843749998</v>
      </c>
      <c r="B40" s="4" t="s">
        <v>49</v>
      </c>
    </row>
    <row r="42" spans="1:13" x14ac:dyDescent="0.25">
      <c r="A42" s="24" t="s">
        <v>50</v>
      </c>
      <c r="B42" s="27"/>
      <c r="C42" s="27"/>
      <c r="D42" s="28"/>
      <c r="E42" s="29"/>
      <c r="F42" s="29"/>
      <c r="G42" s="29"/>
      <c r="H42" s="29"/>
      <c r="I42" s="29"/>
      <c r="J42" s="29"/>
      <c r="K42" s="29"/>
      <c r="L42" s="29"/>
      <c r="M42" s="29"/>
    </row>
    <row r="43" spans="1:13" x14ac:dyDescent="0.25">
      <c r="A43" s="30" t="s">
        <v>51</v>
      </c>
      <c r="B43" s="31"/>
      <c r="C43" s="31"/>
      <c r="D43" s="32"/>
      <c r="E43" s="33"/>
      <c r="F43" s="33"/>
      <c r="G43" s="33"/>
      <c r="H43" s="33"/>
      <c r="I43" s="33"/>
      <c r="J43" s="29"/>
      <c r="K43" s="29"/>
      <c r="L43" s="29"/>
      <c r="M43" s="29"/>
    </row>
    <row r="44" spans="1:13" x14ac:dyDescent="0.25">
      <c r="A44" s="22">
        <v>0.564916578081197</v>
      </c>
      <c r="B44" s="18" t="s">
        <v>52</v>
      </c>
      <c r="C44" s="34"/>
      <c r="D44" s="32"/>
      <c r="E44" s="33"/>
      <c r="F44" s="35"/>
      <c r="G44" s="35"/>
      <c r="H44" s="35"/>
      <c r="K44" s="33"/>
      <c r="L44" s="33"/>
      <c r="M44" s="29"/>
    </row>
    <row r="45" spans="1:13" x14ac:dyDescent="0.25">
      <c r="A45" s="36"/>
      <c r="B45" s="37" t="s">
        <v>53</v>
      </c>
      <c r="C45" s="31"/>
      <c r="D45" s="32"/>
      <c r="E45" s="33"/>
      <c r="F45" s="35"/>
      <c r="G45" s="35"/>
      <c r="H45" s="35"/>
      <c r="I45" s="33"/>
      <c r="J45" s="33"/>
      <c r="K45" s="33"/>
      <c r="L45" s="33"/>
      <c r="M45" s="29"/>
    </row>
    <row r="46" spans="1:13" x14ac:dyDescent="0.25">
      <c r="A46" s="34"/>
      <c r="B46" s="36"/>
      <c r="C46" s="34"/>
      <c r="D46" s="32"/>
      <c r="E46" s="33"/>
      <c r="F46" s="35"/>
      <c r="G46" s="35"/>
      <c r="H46" s="35"/>
      <c r="I46" s="38"/>
      <c r="J46" s="39"/>
      <c r="K46" s="33"/>
      <c r="L46" s="33"/>
      <c r="M46" s="29"/>
    </row>
    <row r="47" spans="1:13" x14ac:dyDescent="0.25">
      <c r="A47" s="30" t="s">
        <v>54</v>
      </c>
      <c r="B47" s="31"/>
      <c r="C47" s="31"/>
      <c r="D47" s="32"/>
      <c r="E47" s="33"/>
      <c r="F47" s="35"/>
      <c r="G47" s="35"/>
      <c r="H47" s="35"/>
      <c r="I47" s="33"/>
      <c r="J47" s="33"/>
      <c r="K47" s="33"/>
      <c r="L47" s="33"/>
      <c r="M47" s="29"/>
    </row>
    <row r="48" spans="1:13" x14ac:dyDescent="0.25">
      <c r="A48" s="22">
        <v>1.1915663079939476</v>
      </c>
      <c r="B48" s="18" t="s">
        <v>55</v>
      </c>
      <c r="C48" s="33"/>
      <c r="D48" s="33"/>
      <c r="E48" s="29"/>
      <c r="F48" s="29"/>
      <c r="G48" s="35"/>
      <c r="H48" s="35"/>
    </row>
    <row r="49" spans="1:13" x14ac:dyDescent="0.25">
      <c r="A49" s="36"/>
      <c r="B49" s="37" t="s">
        <v>53</v>
      </c>
      <c r="C49" s="31"/>
      <c r="D49" s="32"/>
      <c r="E49" s="33"/>
      <c r="F49" s="35"/>
      <c r="G49" s="35"/>
      <c r="H49" s="35"/>
      <c r="I49" s="33"/>
      <c r="J49" s="33"/>
      <c r="K49" s="33"/>
      <c r="L49" s="33"/>
      <c r="M49" s="29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0"/>
  <sheetViews>
    <sheetView showGridLines="0" workbookViewId="0">
      <selection activeCell="E13" sqref="E13"/>
    </sheetView>
  </sheetViews>
  <sheetFormatPr defaultColWidth="9.140625" defaultRowHeight="15" x14ac:dyDescent="0.25"/>
  <cols>
    <col min="1" max="1" width="9.7109375" style="4" customWidth="1"/>
    <col min="2" max="2" width="9.7109375" style="4" hidden="1" customWidth="1"/>
    <col min="3" max="3" width="9.7109375" style="4" customWidth="1"/>
    <col min="4" max="4" width="7.140625" style="71" customWidth="1"/>
    <col min="5" max="5" width="42.5703125" style="4" customWidth="1"/>
    <col min="6" max="6" width="6.5703125" style="4" bestFit="1" customWidth="1"/>
    <col min="7" max="7" width="7.7109375" style="4" bestFit="1" customWidth="1"/>
    <col min="8" max="8" width="7.42578125" style="4" customWidth="1"/>
    <col min="9" max="12" width="8" style="4" customWidth="1"/>
    <col min="13" max="13" width="9.140625" style="4"/>
    <col min="14" max="14" width="9.140625" style="75"/>
    <col min="15" max="16384" width="9.140625" style="4"/>
  </cols>
  <sheetData>
    <row r="1" spans="1:14" ht="18.75" x14ac:dyDescent="0.3">
      <c r="A1" s="1" t="s">
        <v>88</v>
      </c>
      <c r="B1" s="2"/>
      <c r="C1" s="2"/>
      <c r="D1" s="64"/>
      <c r="E1" s="2"/>
      <c r="F1" s="2"/>
      <c r="G1" s="3"/>
      <c r="H1" s="3"/>
      <c r="I1" s="3"/>
    </row>
    <row r="2" spans="1:14" x14ac:dyDescent="0.25">
      <c r="A2" s="5" t="s">
        <v>89</v>
      </c>
      <c r="B2" s="2"/>
      <c r="C2" s="2"/>
      <c r="D2" s="64"/>
      <c r="E2" s="2"/>
      <c r="F2" s="2"/>
      <c r="G2" s="3"/>
      <c r="H2" s="3"/>
      <c r="I2" s="3"/>
    </row>
    <row r="3" spans="1:14" x14ac:dyDescent="0.25">
      <c r="A3" s="5" t="s">
        <v>74</v>
      </c>
      <c r="B3" s="2"/>
      <c r="C3" s="2"/>
      <c r="D3" s="64"/>
      <c r="E3" s="2"/>
      <c r="F3" s="2"/>
      <c r="G3" s="3"/>
      <c r="H3" s="3"/>
      <c r="I3" s="3"/>
    </row>
    <row r="4" spans="1:14" x14ac:dyDescent="0.25">
      <c r="B4" s="2"/>
      <c r="C4" s="2"/>
      <c r="D4" s="64"/>
      <c r="E4" s="2"/>
      <c r="F4" s="2"/>
      <c r="G4" s="3"/>
      <c r="H4" s="3"/>
      <c r="I4" s="3"/>
    </row>
    <row r="5" spans="1:14" s="10" customFormat="1" ht="51.75" x14ac:dyDescent="0.25">
      <c r="A5" s="7" t="s">
        <v>1</v>
      </c>
      <c r="B5" s="7" t="s">
        <v>70</v>
      </c>
      <c r="C5" s="7" t="s">
        <v>71</v>
      </c>
      <c r="D5" s="65" t="s">
        <v>86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N5" s="76"/>
    </row>
    <row r="6" spans="1:14" x14ac:dyDescent="0.25">
      <c r="A6" s="11" t="s">
        <v>8</v>
      </c>
      <c r="B6" s="11">
        <v>2</v>
      </c>
      <c r="C6" s="12" t="s">
        <v>13</v>
      </c>
      <c r="D6" s="66" t="s">
        <v>14</v>
      </c>
      <c r="E6" s="6" t="s">
        <v>15</v>
      </c>
      <c r="F6" s="3">
        <v>363</v>
      </c>
      <c r="G6" s="3">
        <v>8</v>
      </c>
      <c r="H6" s="3" t="s">
        <v>12</v>
      </c>
      <c r="I6" s="50">
        <f>(VLOOKUP($C6,'February 2018'!$C$6:$L$12,7,0)+0.07)*1.025</f>
        <v>33.580135025915737</v>
      </c>
      <c r="J6" s="50">
        <f>(VLOOKUP($C6,'February 2018'!$C$6:$L$12,8,0)+0.07)*1.025</f>
        <v>35.263180453116711</v>
      </c>
      <c r="K6" s="50">
        <f>(VLOOKUP($C6,'February 2018'!$C$6:$L$12,9,0)+0.07)*1.025</f>
        <v>37.013454967630132</v>
      </c>
      <c r="L6" s="51" t="s">
        <v>62</v>
      </c>
      <c r="M6" s="58"/>
    </row>
    <row r="7" spans="1:14" x14ac:dyDescent="0.25">
      <c r="A7" s="11" t="s">
        <v>8</v>
      </c>
      <c r="B7" s="11"/>
      <c r="C7" s="12" t="s">
        <v>96</v>
      </c>
      <c r="D7" s="66" t="s">
        <v>97</v>
      </c>
      <c r="E7" s="6" t="s">
        <v>98</v>
      </c>
      <c r="F7" s="3">
        <v>330</v>
      </c>
      <c r="G7" s="3">
        <v>7</v>
      </c>
      <c r="H7" s="3" t="s">
        <v>12</v>
      </c>
      <c r="I7" s="50">
        <v>28.49</v>
      </c>
      <c r="J7" s="50">
        <v>29.85</v>
      </c>
      <c r="K7" s="50">
        <v>31.28</v>
      </c>
      <c r="L7" s="51">
        <v>32.78</v>
      </c>
      <c r="M7" s="58"/>
    </row>
    <row r="8" spans="1:14" x14ac:dyDescent="0.25">
      <c r="A8" s="11" t="s">
        <v>8</v>
      </c>
      <c r="B8" s="11"/>
      <c r="C8" s="60" t="s">
        <v>75</v>
      </c>
      <c r="D8" s="66">
        <v>1</v>
      </c>
      <c r="E8" s="6" t="s">
        <v>87</v>
      </c>
      <c r="F8" s="3"/>
      <c r="G8" s="3" t="s">
        <v>76</v>
      </c>
      <c r="H8" s="3" t="s">
        <v>12</v>
      </c>
      <c r="I8" s="50">
        <v>18.149999999999999</v>
      </c>
      <c r="J8" s="40"/>
      <c r="K8" s="40"/>
      <c r="L8" s="40"/>
    </row>
    <row r="9" spans="1:14" x14ac:dyDescent="0.25">
      <c r="A9" s="11" t="s">
        <v>8</v>
      </c>
      <c r="B9" s="11">
        <v>2</v>
      </c>
      <c r="C9" t="s">
        <v>90</v>
      </c>
      <c r="D9" s="61" t="s">
        <v>21</v>
      </c>
      <c r="E9" s="6" t="s">
        <v>56</v>
      </c>
      <c r="F9" s="3">
        <v>265</v>
      </c>
      <c r="G9" s="3">
        <v>5</v>
      </c>
      <c r="H9" s="3" t="s">
        <v>12</v>
      </c>
      <c r="I9" s="50">
        <f>(VLOOKUP($C9,'February 2018'!$C$6:$L$12,7,0)+0.07)*1.025</f>
        <v>24.611274999999996</v>
      </c>
      <c r="J9" s="50">
        <f>(VLOOKUP($C9,'February 2018'!$C$6:$L$12,8,0)+0.07)*1.025</f>
        <v>25.838200000000001</v>
      </c>
      <c r="K9" s="50">
        <f>(VLOOKUP($C9,'February 2018'!$C$6:$L$12,9,0)+0.07)*1.025</f>
        <v>27.126624999999997</v>
      </c>
      <c r="L9" s="50">
        <f>(VLOOKUP($C9,'February 2018'!$C$6:$L$12,10,0)+0.07)*1.025</f>
        <v>28.479624999999999</v>
      </c>
      <c r="M9" s="58"/>
    </row>
    <row r="10" spans="1:14" x14ac:dyDescent="0.25">
      <c r="A10" s="55" t="s">
        <v>8</v>
      </c>
      <c r="B10" s="55">
        <v>2</v>
      </c>
      <c r="C10" s="62" t="s">
        <v>91</v>
      </c>
      <c r="D10" s="63" t="s">
        <v>92</v>
      </c>
      <c r="E10" s="56" t="s">
        <v>57</v>
      </c>
      <c r="F10" s="57">
        <v>310</v>
      </c>
      <c r="G10" s="57">
        <v>6</v>
      </c>
      <c r="H10" s="57" t="s">
        <v>12</v>
      </c>
      <c r="I10" s="59">
        <f>(VLOOKUP($C10,'February 2018'!$C$6:$L$12,7,0)+0.07)*1.025</f>
        <v>26.256399999999996</v>
      </c>
      <c r="J10" s="59">
        <f>(VLOOKUP($C10,'February 2018'!$C$6:$L$12,8,0)+0.07)*1.025</f>
        <v>27.513049999999996</v>
      </c>
      <c r="K10" s="59">
        <f>(VLOOKUP($C10,'February 2018'!$C$6:$L$12,9,0)+0.07)*1.025</f>
        <v>28.830174999999997</v>
      </c>
      <c r="L10" s="59">
        <f>(VLOOKUP($C10,'February 2018'!$C$6:$L$12,10,0)+0.07)*1.025</f>
        <v>30.210849999999997</v>
      </c>
    </row>
    <row r="11" spans="1:14" x14ac:dyDescent="0.25">
      <c r="A11" s="11" t="s">
        <v>8</v>
      </c>
      <c r="B11" s="11">
        <v>2</v>
      </c>
      <c r="C11" s="12" t="s">
        <v>9</v>
      </c>
      <c r="D11" s="66" t="s">
        <v>10</v>
      </c>
      <c r="E11" s="6" t="s">
        <v>82</v>
      </c>
      <c r="F11" s="3">
        <v>313</v>
      </c>
      <c r="G11" s="3">
        <v>6</v>
      </c>
      <c r="H11" s="3" t="s">
        <v>12</v>
      </c>
      <c r="I11" s="50">
        <f>(VLOOKUP($C11,'February 2018'!$C$6:$L$12,7,0)+0.07)*1.025</f>
        <v>25.618733631393795</v>
      </c>
      <c r="J11" s="50">
        <f>(VLOOKUP($C11,'February 2018'!$C$6:$L$12,8,0)+0.07)*1.025</f>
        <v>26.917692328045653</v>
      </c>
      <c r="K11" s="50">
        <f>(VLOOKUP($C11,'February 2018'!$C$6:$L$12,9,0)+0.07)*1.025</f>
        <v>28.24769231708073</v>
      </c>
      <c r="L11" s="50">
        <f>(VLOOKUP($C11,'February 2018'!$C$6:$L$12,10,0)+0.07)*1.025</f>
        <v>29.646938266047624</v>
      </c>
    </row>
    <row r="12" spans="1:14" x14ac:dyDescent="0.25">
      <c r="A12" s="11" t="s">
        <v>8</v>
      </c>
      <c r="B12" s="11">
        <v>2</v>
      </c>
      <c r="C12" s="12" t="s">
        <v>17</v>
      </c>
      <c r="D12" s="66" t="s">
        <v>18</v>
      </c>
      <c r="E12" s="6" t="s">
        <v>83</v>
      </c>
      <c r="F12" s="3">
        <v>268</v>
      </c>
      <c r="G12" s="3">
        <v>5</v>
      </c>
      <c r="H12" s="3" t="s">
        <v>12</v>
      </c>
      <c r="I12" s="50">
        <f>(VLOOKUP($C12,'February 2018'!$C$6:$L$12,7,0)+0.07)*1.025</f>
        <v>24.373500248482134</v>
      </c>
      <c r="J12" s="50">
        <f>(VLOOKUP($C12,'February 2018'!$C$6:$L$12,8,0)+0.07)*1.025</f>
        <v>25.59008013073235</v>
      </c>
      <c r="K12" s="50">
        <f>(VLOOKUP($C12,'February 2018'!$C$6:$L$12,9,0)+0.07)*1.025</f>
        <v>26.849640263974734</v>
      </c>
      <c r="L12" s="50">
        <f>(VLOOKUP($C12,'February 2018'!$C$6:$L$12,10,0)+0.07)*1.025</f>
        <v>28.192773107479642</v>
      </c>
    </row>
    <row r="13" spans="1:14" x14ac:dyDescent="0.25">
      <c r="A13" s="11" t="s">
        <v>8</v>
      </c>
      <c r="B13" s="11">
        <v>2</v>
      </c>
      <c r="C13" s="12" t="s">
        <v>20</v>
      </c>
      <c r="D13" s="66" t="s">
        <v>21</v>
      </c>
      <c r="E13" s="6" t="s">
        <v>84</v>
      </c>
      <c r="F13" s="3">
        <v>250</v>
      </c>
      <c r="G13" s="3">
        <v>5</v>
      </c>
      <c r="H13" s="3" t="s">
        <v>12</v>
      </c>
      <c r="I13" s="50">
        <f>(VLOOKUP($C13,'February 2018'!$C$6:$L$12,7,0)+0.07)*1.025</f>
        <v>24.399765957421785</v>
      </c>
      <c r="J13" s="50">
        <f>(VLOOKUP($C13,'February 2018'!$C$6:$L$12,8,0)+0.07)*1.025</f>
        <v>25.925564867643363</v>
      </c>
      <c r="K13" s="50">
        <f>(VLOOKUP($C13,'February 2018'!$C$6:$L$12,9,0)+0.07)*1.025</f>
        <v>26.625187842126802</v>
      </c>
      <c r="L13" s="50">
        <f>(VLOOKUP($C13,'February 2018'!$C$6:$L$12,10,0)+0.07)*1.025</f>
        <v>27.575528947397835</v>
      </c>
    </row>
    <row r="14" spans="1:14" x14ac:dyDescent="0.25">
      <c r="A14" s="11" t="s">
        <v>8</v>
      </c>
      <c r="B14" s="11">
        <v>2</v>
      </c>
      <c r="C14" s="12" t="s">
        <v>23</v>
      </c>
      <c r="D14" s="66" t="s">
        <v>24</v>
      </c>
      <c r="E14" s="6" t="s">
        <v>85</v>
      </c>
      <c r="F14" s="3">
        <v>285</v>
      </c>
      <c r="G14" s="3">
        <v>6</v>
      </c>
      <c r="H14" s="3" t="s">
        <v>12</v>
      </c>
      <c r="I14" s="50">
        <f>(VLOOKUP($C14,'February 2018'!$C$6:$L$12,7,0)+0.07)*1.025</f>
        <v>25.67245894513399</v>
      </c>
      <c r="J14" s="50">
        <f>(VLOOKUP($C14,'February 2018'!$C$6:$L$12,8,0)+0.07)*1.025</f>
        <v>26.82218065917419</v>
      </c>
      <c r="K14" s="50">
        <f>(VLOOKUP($C14,'February 2018'!$C$6:$L$12,9,0)+0.07)*1.025</f>
        <v>27.926534330500452</v>
      </c>
      <c r="L14" s="50">
        <f>(VLOOKUP($C14,'February 2018'!$C$6:$L$12,10,0)+0.07)*1.025</f>
        <v>29.340107029798062</v>
      </c>
    </row>
    <row r="15" spans="1:14" ht="30" customHeight="1" x14ac:dyDescent="0.25">
      <c r="A15" s="123" t="s">
        <v>94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</row>
    <row r="16" spans="1:14" x14ac:dyDescent="0.25">
      <c r="A16" s="11"/>
      <c r="B16" s="11"/>
      <c r="C16" s="12"/>
      <c r="D16" s="66"/>
      <c r="E16" s="6"/>
      <c r="F16" s="3"/>
      <c r="G16" s="3"/>
      <c r="H16" s="3"/>
      <c r="I16" s="40"/>
      <c r="J16" s="40"/>
      <c r="K16" s="40"/>
      <c r="L16" s="40"/>
    </row>
    <row r="17" spans="1:14" x14ac:dyDescent="0.25">
      <c r="A17" s="17" t="s">
        <v>26</v>
      </c>
      <c r="B17" s="2"/>
      <c r="C17" s="2"/>
      <c r="D17" s="64"/>
      <c r="E17" s="17"/>
      <c r="F17" s="2"/>
      <c r="G17" s="2"/>
      <c r="H17" s="2"/>
      <c r="I17" s="2"/>
      <c r="J17" s="2"/>
      <c r="K17" s="2"/>
      <c r="L17" s="2"/>
    </row>
    <row r="18" spans="1:14" x14ac:dyDescent="0.25">
      <c r="A18" s="18" t="s">
        <v>27</v>
      </c>
      <c r="B18" s="19"/>
      <c r="C18" s="19"/>
      <c r="D18" s="67"/>
      <c r="E18" s="19"/>
      <c r="F18" s="19"/>
      <c r="G18" s="19"/>
      <c r="H18" s="19"/>
      <c r="I18"/>
      <c r="J18"/>
      <c r="K18"/>
      <c r="L18"/>
    </row>
    <row r="19" spans="1:14" x14ac:dyDescent="0.25">
      <c r="A19" s="18" t="s">
        <v>28</v>
      </c>
      <c r="B19" s="19"/>
      <c r="C19" s="19"/>
      <c r="D19" s="67"/>
      <c r="E19" s="19"/>
      <c r="F19" s="19"/>
      <c r="G19" s="19"/>
      <c r="H19" s="19"/>
      <c r="I19"/>
      <c r="J19"/>
      <c r="K19" s="41"/>
      <c r="L19"/>
    </row>
    <row r="20" spans="1:14" x14ac:dyDescent="0.25">
      <c r="A20" s="20">
        <f>'February 2018'!A17*1.025</f>
        <v>0.31160681969313864</v>
      </c>
      <c r="C20" s="18" t="s">
        <v>29</v>
      </c>
      <c r="D20" s="68"/>
      <c r="E20" s="19"/>
      <c r="F20" s="19"/>
      <c r="G20" s="19"/>
      <c r="H20" s="21"/>
      <c r="I20" s="21"/>
      <c r="J20" s="16"/>
      <c r="K20" s="21"/>
      <c r="L20" s="49"/>
      <c r="N20" s="77">
        <f>A20</f>
        <v>0.31160681969313864</v>
      </c>
    </row>
    <row r="21" spans="1:14" x14ac:dyDescent="0.25">
      <c r="A21" s="20">
        <f>'February 2018'!A18*1.025</f>
        <v>0.43577198922603683</v>
      </c>
      <c r="C21" s="18" t="s">
        <v>30</v>
      </c>
      <c r="D21" s="68"/>
      <c r="E21" s="19"/>
      <c r="F21" s="19"/>
      <c r="G21" s="19"/>
      <c r="H21" s="21"/>
      <c r="I21" s="21"/>
      <c r="J21" s="16"/>
      <c r="K21" s="21"/>
      <c r="L21" s="49"/>
      <c r="N21" s="77">
        <f t="shared" ref="N21:N23" si="0">A21</f>
        <v>0.43577198922603683</v>
      </c>
    </row>
    <row r="22" spans="1:14" x14ac:dyDescent="0.25">
      <c r="A22" s="20">
        <f>'February 2018'!A19*1.025</f>
        <v>0.52770197051481704</v>
      </c>
      <c r="C22" s="18" t="s">
        <v>31</v>
      </c>
      <c r="D22" s="68"/>
      <c r="E22" s="19"/>
      <c r="F22" s="19"/>
      <c r="G22" s="19"/>
      <c r="H22" s="21"/>
      <c r="I22" s="21"/>
      <c r="J22" s="16"/>
      <c r="K22" s="2"/>
      <c r="L22" s="49"/>
      <c r="N22" s="77">
        <f t="shared" si="0"/>
        <v>0.52770197051481704</v>
      </c>
    </row>
    <row r="23" spans="1:14" x14ac:dyDescent="0.25">
      <c r="A23" s="20">
        <f>'February 2018'!A20*1.025</f>
        <v>0.61963195180359742</v>
      </c>
      <c r="C23" s="18" t="s">
        <v>32</v>
      </c>
      <c r="D23" s="67"/>
      <c r="E23" s="19"/>
      <c r="F23" s="19"/>
      <c r="G23" s="19"/>
      <c r="H23" s="21"/>
      <c r="I23" s="21"/>
      <c r="J23" s="16"/>
      <c r="K23" s="21"/>
      <c r="L23" s="49"/>
      <c r="N23" s="77">
        <f t="shared" si="0"/>
        <v>0.61963195180359742</v>
      </c>
    </row>
    <row r="24" spans="1:14" x14ac:dyDescent="0.25">
      <c r="A24" s="17"/>
      <c r="B24" s="2"/>
      <c r="C24" s="2"/>
      <c r="D24" s="64"/>
      <c r="E24" s="17"/>
      <c r="F24" s="2"/>
      <c r="G24" s="2"/>
      <c r="H24" s="2"/>
      <c r="J24" s="2"/>
      <c r="K24" s="2"/>
      <c r="L24" s="2"/>
    </row>
    <row r="25" spans="1:14" x14ac:dyDescent="0.25">
      <c r="A25" s="23" t="s">
        <v>33</v>
      </c>
      <c r="B25" s="21"/>
      <c r="C25" s="21"/>
      <c r="D25" s="69"/>
      <c r="E25" s="21"/>
      <c r="F25" s="21"/>
      <c r="G25" s="21"/>
      <c r="H25" s="21"/>
      <c r="I25" s="21"/>
      <c r="J25" s="21"/>
      <c r="K25" s="21"/>
      <c r="L25" s="21"/>
    </row>
    <row r="26" spans="1:14" x14ac:dyDescent="0.25">
      <c r="A26" s="18" t="s">
        <v>58</v>
      </c>
      <c r="B26" s="19"/>
      <c r="C26" s="19"/>
      <c r="D26" s="67"/>
      <c r="E26" s="19"/>
      <c r="F26" s="19"/>
      <c r="G26" s="19"/>
      <c r="H26" s="19"/>
      <c r="I26" s="21"/>
      <c r="J26" s="21"/>
      <c r="K26" s="21"/>
      <c r="L26" s="21"/>
    </row>
    <row r="27" spans="1:14" x14ac:dyDescent="0.25">
      <c r="A27" s="18" t="s">
        <v>105</v>
      </c>
      <c r="B27" s="19"/>
      <c r="C27" s="19"/>
      <c r="D27" s="67"/>
      <c r="E27" s="19"/>
      <c r="F27" s="74">
        <f>N27</f>
        <v>7.0000000000000007E-2</v>
      </c>
      <c r="G27" s="19" t="s">
        <v>106</v>
      </c>
      <c r="H27" s="19"/>
      <c r="I27" s="21"/>
      <c r="J27" s="21"/>
      <c r="K27" s="21"/>
      <c r="L27" s="21"/>
      <c r="N27" s="77">
        <v>7.0000000000000007E-2</v>
      </c>
    </row>
    <row r="28" spans="1:14" x14ac:dyDescent="0.25">
      <c r="A28" s="18"/>
      <c r="B28" s="19"/>
      <c r="C28" s="19"/>
      <c r="D28" s="67"/>
      <c r="E28" s="19"/>
      <c r="F28" s="19"/>
      <c r="G28" s="19"/>
      <c r="H28" s="19"/>
      <c r="I28" s="21"/>
      <c r="J28" s="21"/>
      <c r="K28" s="21"/>
      <c r="L28" s="21"/>
    </row>
    <row r="29" spans="1:14" x14ac:dyDescent="0.25">
      <c r="A29" s="24" t="s">
        <v>37</v>
      </c>
      <c r="B29" s="21"/>
      <c r="C29" s="21"/>
      <c r="D29" s="69"/>
      <c r="E29" s="21"/>
      <c r="F29" s="21"/>
      <c r="G29" s="21"/>
      <c r="H29" s="21"/>
      <c r="I29" s="21"/>
      <c r="J29" s="21"/>
      <c r="K29" s="21"/>
      <c r="L29" s="21"/>
    </row>
    <row r="30" spans="1:14" x14ac:dyDescent="0.25">
      <c r="A30" s="24" t="s">
        <v>38</v>
      </c>
      <c r="B30" s="21"/>
      <c r="C30" s="21"/>
      <c r="D30" s="69"/>
      <c r="E30" s="21"/>
      <c r="F30" s="21"/>
      <c r="G30" s="21"/>
      <c r="H30" s="21"/>
      <c r="I30" s="21"/>
      <c r="J30" s="21"/>
      <c r="K30" s="21"/>
      <c r="L30" s="21"/>
    </row>
    <row r="31" spans="1:14" x14ac:dyDescent="0.25">
      <c r="A31" s="22">
        <v>0.34244427619767404</v>
      </c>
      <c r="C31" s="18" t="s">
        <v>59</v>
      </c>
      <c r="D31" s="67"/>
      <c r="E31" s="6"/>
      <c r="F31" s="19"/>
      <c r="G31" s="19"/>
      <c r="H31" s="19"/>
      <c r="I31" s="19"/>
      <c r="J31" s="19"/>
      <c r="K31" s="21"/>
      <c r="L31" s="49"/>
      <c r="N31" s="77">
        <f>A31</f>
        <v>0.34244427619767404</v>
      </c>
    </row>
    <row r="32" spans="1:14" x14ac:dyDescent="0.25">
      <c r="A32" s="22">
        <v>0.34244427619767404</v>
      </c>
      <c r="C32" s="18" t="s">
        <v>40</v>
      </c>
      <c r="D32" s="67"/>
      <c r="E32" s="6"/>
      <c r="F32" s="19"/>
      <c r="G32" s="19"/>
      <c r="H32" s="19"/>
      <c r="I32" s="19"/>
      <c r="J32" s="19"/>
      <c r="K32" s="21"/>
      <c r="L32" s="49"/>
      <c r="N32" s="77">
        <f t="shared" ref="N32:N35" si="1">A32</f>
        <v>0.34244427619767404</v>
      </c>
    </row>
    <row r="33" spans="1:14" x14ac:dyDescent="0.25">
      <c r="A33" s="22">
        <v>0.82466172635358237</v>
      </c>
      <c r="C33" s="18" t="s">
        <v>41</v>
      </c>
      <c r="D33" s="67"/>
      <c r="E33" s="6"/>
      <c r="F33" s="19"/>
      <c r="G33" s="19"/>
      <c r="H33" s="19"/>
      <c r="I33" s="19"/>
      <c r="J33" s="19"/>
      <c r="K33" s="21"/>
      <c r="L33" s="49"/>
      <c r="N33" s="77">
        <f t="shared" si="1"/>
        <v>0.82466172635358237</v>
      </c>
    </row>
    <row r="34" spans="1:14" x14ac:dyDescent="0.25">
      <c r="A34" s="22">
        <v>0.38554100483479636</v>
      </c>
      <c r="C34" s="6" t="s">
        <v>42</v>
      </c>
      <c r="D34" s="68"/>
      <c r="E34" s="6"/>
      <c r="F34" s="6"/>
      <c r="G34" s="6"/>
      <c r="H34" s="6"/>
      <c r="I34" s="6"/>
      <c r="J34" s="6"/>
      <c r="K34" s="6"/>
      <c r="L34" s="49"/>
      <c r="N34" s="77">
        <f t="shared" si="1"/>
        <v>0.38554100483479636</v>
      </c>
    </row>
    <row r="35" spans="1:14" x14ac:dyDescent="0.25">
      <c r="A35" s="22">
        <v>1.1263388268134382</v>
      </c>
      <c r="C35" s="6" t="s">
        <v>43</v>
      </c>
      <c r="D35" s="68"/>
      <c r="E35" s="6"/>
      <c r="F35" s="6"/>
      <c r="G35" s="6"/>
      <c r="H35" s="6"/>
      <c r="I35" s="6"/>
      <c r="J35" s="6"/>
      <c r="K35" s="6"/>
      <c r="L35" s="49"/>
      <c r="N35" s="77">
        <f t="shared" si="1"/>
        <v>1.1263388268134382</v>
      </c>
    </row>
    <row r="37" spans="1:14" s="26" customFormat="1" x14ac:dyDescent="0.25">
      <c r="A37" s="26" t="s">
        <v>60</v>
      </c>
      <c r="D37" s="70"/>
      <c r="N37" s="78"/>
    </row>
    <row r="38" spans="1:14" x14ac:dyDescent="0.25">
      <c r="A38" s="26" t="s">
        <v>45</v>
      </c>
    </row>
    <row r="39" spans="1:14" x14ac:dyDescent="0.25">
      <c r="A39" s="54">
        <v>0.54787467187499994</v>
      </c>
      <c r="C39" s="4" t="s">
        <v>61</v>
      </c>
      <c r="L39" s="21"/>
      <c r="N39" s="79">
        <f>A39</f>
        <v>0.54787467187499994</v>
      </c>
    </row>
    <row r="40" spans="1:14" x14ac:dyDescent="0.25">
      <c r="A40" s="54">
        <v>0.82718332812499973</v>
      </c>
      <c r="C40" s="4" t="s">
        <v>48</v>
      </c>
      <c r="L40" s="21"/>
      <c r="N40" s="79">
        <f t="shared" ref="N40:N41" si="2">A40</f>
        <v>0.82718332812499973</v>
      </c>
    </row>
    <row r="41" spans="1:14" x14ac:dyDescent="0.25">
      <c r="A41" s="54">
        <v>1.1064919843749998</v>
      </c>
      <c r="C41" s="4" t="s">
        <v>49</v>
      </c>
      <c r="L41" s="21"/>
      <c r="N41" s="79">
        <f t="shared" si="2"/>
        <v>1.1064919843749998</v>
      </c>
    </row>
    <row r="43" spans="1:14" x14ac:dyDescent="0.25">
      <c r="A43" s="24" t="s">
        <v>50</v>
      </c>
      <c r="B43" s="27"/>
      <c r="C43" s="27"/>
      <c r="D43" s="72"/>
      <c r="E43" s="29"/>
      <c r="F43" s="29"/>
      <c r="G43" s="29"/>
      <c r="H43" s="29"/>
      <c r="I43" s="29"/>
      <c r="J43" s="29"/>
      <c r="K43" s="29"/>
      <c r="L43" s="29"/>
    </row>
    <row r="44" spans="1:14" x14ac:dyDescent="0.25">
      <c r="A44" s="30" t="s">
        <v>51</v>
      </c>
      <c r="B44" s="31"/>
      <c r="C44" s="31"/>
      <c r="D44" s="73"/>
      <c r="E44" s="33"/>
      <c r="F44" s="33"/>
      <c r="G44" s="33"/>
      <c r="H44" s="33"/>
      <c r="I44" s="33"/>
      <c r="J44" s="29"/>
      <c r="K44" s="29"/>
      <c r="L44" s="29"/>
    </row>
    <row r="45" spans="1:14" x14ac:dyDescent="0.25">
      <c r="A45" s="22">
        <v>0.564916578081197</v>
      </c>
      <c r="C45" s="18" t="s">
        <v>52</v>
      </c>
      <c r="D45" s="73"/>
      <c r="E45" s="33"/>
      <c r="F45" s="35"/>
      <c r="G45" s="35"/>
      <c r="H45" s="35"/>
      <c r="K45" s="33"/>
      <c r="L45" s="33"/>
      <c r="N45" s="77">
        <f>A45</f>
        <v>0.564916578081197</v>
      </c>
    </row>
    <row r="46" spans="1:14" x14ac:dyDescent="0.25">
      <c r="A46" s="36"/>
      <c r="C46" s="37" t="s">
        <v>53</v>
      </c>
      <c r="D46" s="73"/>
      <c r="E46" s="33"/>
      <c r="F46" s="35"/>
      <c r="G46" s="35"/>
      <c r="H46" s="35"/>
      <c r="I46" s="33"/>
      <c r="J46" s="33"/>
      <c r="K46" s="33"/>
      <c r="L46" s="33"/>
    </row>
    <row r="47" spans="1:14" x14ac:dyDescent="0.25">
      <c r="A47" s="34"/>
      <c r="B47" s="36"/>
      <c r="C47" s="34"/>
      <c r="D47" s="73"/>
      <c r="E47" s="33"/>
      <c r="F47" s="35"/>
      <c r="G47" s="35"/>
      <c r="H47" s="35"/>
      <c r="I47" s="38"/>
      <c r="J47" s="39"/>
      <c r="K47" s="33"/>
      <c r="L47" s="33"/>
    </row>
    <row r="48" spans="1:14" x14ac:dyDescent="0.25">
      <c r="A48" s="30" t="s">
        <v>54</v>
      </c>
      <c r="B48" s="31"/>
      <c r="C48" s="31"/>
      <c r="D48" s="73"/>
      <c r="E48" s="33"/>
      <c r="F48" s="35"/>
      <c r="G48" s="35"/>
      <c r="H48" s="35"/>
      <c r="I48" s="33"/>
      <c r="J48" s="33"/>
      <c r="K48" s="33"/>
      <c r="L48" s="33"/>
    </row>
    <row r="49" spans="1:14" x14ac:dyDescent="0.25">
      <c r="A49" s="22">
        <v>1.1915663079939476</v>
      </c>
      <c r="C49" s="18" t="s">
        <v>55</v>
      </c>
      <c r="D49" s="73"/>
      <c r="E49" s="29"/>
      <c r="F49" s="29"/>
      <c r="G49" s="35"/>
      <c r="H49" s="35"/>
      <c r="L49" s="33"/>
      <c r="N49" s="77">
        <f>A49</f>
        <v>1.1915663079939476</v>
      </c>
    </row>
    <row r="50" spans="1:14" x14ac:dyDescent="0.25">
      <c r="A50" s="36"/>
      <c r="C50" s="37" t="s">
        <v>53</v>
      </c>
      <c r="D50" s="73"/>
      <c r="E50" s="33"/>
      <c r="F50" s="35"/>
      <c r="G50" s="35"/>
      <c r="H50" s="35"/>
      <c r="I50" s="33"/>
      <c r="J50" s="33"/>
      <c r="K50" s="33"/>
      <c r="L50" s="33"/>
    </row>
  </sheetData>
  <mergeCells count="1">
    <mergeCell ref="A15:L15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A1EAA-4821-41E1-8482-3999C75C70AE}">
  <dimension ref="A1:P49"/>
  <sheetViews>
    <sheetView showGridLines="0" topLeftCell="B42" workbookViewId="0">
      <selection activeCell="B19" sqref="B19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75" bestFit="1" customWidth="1"/>
    <col min="16" max="16" width="6" style="75" bestFit="1" customWidth="1"/>
    <col min="17" max="16384" width="9.140625" style="4"/>
  </cols>
  <sheetData>
    <row r="1" spans="2:16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16" x14ac:dyDescent="0.25">
      <c r="B2" s="5" t="s">
        <v>102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16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16" x14ac:dyDescent="0.25">
      <c r="C4" s="2"/>
      <c r="D4" s="2"/>
      <c r="E4" s="64"/>
      <c r="F4" s="2"/>
      <c r="G4" s="2"/>
      <c r="H4" s="3"/>
      <c r="I4" s="3"/>
      <c r="J4" s="3"/>
    </row>
    <row r="5" spans="2:16" s="10" customFormat="1" ht="66" customHeight="1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76"/>
      <c r="P5" s="76"/>
    </row>
    <row r="6" spans="2:16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ROUND(VLOOKUP($D6,'October 2019'!$C$6:$L$14,7,0)*BaseIncrPerc2020,3)</f>
        <v>29.202000000000002</v>
      </c>
      <c r="K6" s="50">
        <f>ROUND(VLOOKUP($D6,'October 2019'!$C$6:$L$14,8,0)*BaseIncrPerc2020,3)</f>
        <v>30.596</v>
      </c>
      <c r="L6" s="50">
        <f>ROUND(VLOOKUP($D6,'October 2019'!$C$6:$L$14,9,0)*BaseIncrPerc2020,3)</f>
        <v>32.061999999999998</v>
      </c>
      <c r="M6" s="50">
        <f>ROUND(VLOOKUP($D6,'October 2019'!$C$6:$L$14,10,0)*BaseIncrPerc2020,3)</f>
        <v>33.6</v>
      </c>
      <c r="N6" s="58"/>
    </row>
    <row r="7" spans="2:16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ROUND(VLOOKUP($D7,'October 2019'!$C$6:$L$14,7,0)*BaseIncrPerc2020,3)</f>
        <v>18.603999999999999</v>
      </c>
      <c r="K7" s="40"/>
      <c r="L7" s="40"/>
      <c r="M7" s="40"/>
    </row>
    <row r="8" spans="2:16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ROUND(VLOOKUP($D8,'October 2019'!$C$6:$L$14,7,0)*BaseIncrPerc2020,3)</f>
        <v>25.227</v>
      </c>
      <c r="K8" s="50">
        <f>ROUND(VLOOKUP($D8,'October 2019'!$C$6:$L$14,8,0)*BaseIncrPerc2020,3)</f>
        <v>26.484000000000002</v>
      </c>
      <c r="L8" s="50">
        <f>ROUND(VLOOKUP($D8,'October 2019'!$C$6:$L$14,9,0)*BaseIncrPerc2020,3)</f>
        <v>27.805</v>
      </c>
      <c r="M8" s="50">
        <f>ROUND(VLOOKUP($D8,'October 2019'!$C$6:$L$14,10,0)*BaseIncrPerc2020,3)</f>
        <v>29.192</v>
      </c>
      <c r="N8" s="58"/>
    </row>
    <row r="9" spans="2:16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ROUND(VLOOKUP($D9,'October 2019'!$C$6:$L$14,7,0)*BaseIncrPerc2020,3)</f>
        <v>26.913</v>
      </c>
      <c r="K9" s="59">
        <f>ROUND(VLOOKUP($D9,'October 2019'!$C$6:$L$14,8,0)*BaseIncrPerc2020,3)</f>
        <v>28.201000000000001</v>
      </c>
      <c r="L9" s="59">
        <f>ROUND(VLOOKUP($D9,'October 2019'!$C$6:$L$14,9,0)*BaseIncrPerc2020,3)</f>
        <v>29.550999999999998</v>
      </c>
      <c r="M9" s="59">
        <f>ROUND(VLOOKUP($D9,'October 2019'!$C$6:$L$14,10,0)*BaseIncrPerc2020,3)</f>
        <v>30.966000000000001</v>
      </c>
    </row>
    <row r="10" spans="2:16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ROUND(VLOOKUP($D10,'October 2019'!$C$6:$L$14,7,0),3)</f>
        <v>25.619</v>
      </c>
      <c r="K10" s="50">
        <f>ROUND(VLOOKUP($D10,'October 2019'!$C$6:$L$14,8,0),3)</f>
        <v>26.917999999999999</v>
      </c>
      <c r="L10" s="50">
        <f>ROUND(VLOOKUP($D10,'October 2019'!$C$6:$L$14,9,0),3)</f>
        <v>28.248000000000001</v>
      </c>
      <c r="M10" s="50">
        <f>ROUND(VLOOKUP($D10,'October 2019'!$C$6:$L$14,10,0),3)</f>
        <v>29.646999999999998</v>
      </c>
    </row>
    <row r="11" spans="2:16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ROUND(VLOOKUP($D11,'October 2019'!$C$6:$L$14,7,0),3)</f>
        <v>24.373999999999999</v>
      </c>
      <c r="K11" s="50">
        <f>ROUND(VLOOKUP($D11,'October 2019'!$C$6:$L$14,8,0),3)</f>
        <v>25.59</v>
      </c>
      <c r="L11" s="50">
        <f>ROUND(VLOOKUP($D11,'October 2019'!$C$6:$L$14,9,0),3)</f>
        <v>26.85</v>
      </c>
      <c r="M11" s="50">
        <f>ROUND(VLOOKUP($D11,'October 2019'!$C$6:$L$14,10,0),3)</f>
        <v>28.193000000000001</v>
      </c>
    </row>
    <row r="12" spans="2:16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ROUND(VLOOKUP($D12,'October 2019'!$C$6:$L$14,7,0),3)</f>
        <v>24.4</v>
      </c>
      <c r="K12" s="50">
        <f>ROUND(VLOOKUP($D12,'October 2019'!$C$6:$L$14,8,0),3)</f>
        <v>25.925999999999998</v>
      </c>
      <c r="L12" s="50">
        <f>ROUND(VLOOKUP($D12,'October 2019'!$C$6:$L$14,9,0),3)</f>
        <v>26.625</v>
      </c>
      <c r="M12" s="50">
        <f>ROUND(VLOOKUP($D12,'October 2019'!$C$6:$L$14,10,0),3)</f>
        <v>27.576000000000001</v>
      </c>
    </row>
    <row r="13" spans="2:16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ROUND(VLOOKUP($D13,'October 2019'!$C$6:$L$14,7,0),3)</f>
        <v>25.672000000000001</v>
      </c>
      <c r="K13" s="50">
        <f>ROUND(VLOOKUP($D13,'October 2019'!$C$6:$L$14,8,0),3)</f>
        <v>26.821999999999999</v>
      </c>
      <c r="L13" s="50">
        <f>ROUND(VLOOKUP($D13,'October 2019'!$C$6:$L$14,9,0),3)</f>
        <v>27.927</v>
      </c>
      <c r="M13" s="50">
        <f>ROUND(VLOOKUP($D13,'October 2019'!$C$6:$L$14,10,0),3)</f>
        <v>29.34</v>
      </c>
    </row>
    <row r="14" spans="2:16" ht="30" customHeight="1" x14ac:dyDescent="0.25">
      <c r="B14" s="123" t="s">
        <v>94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</row>
    <row r="15" spans="2:16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16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5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5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5" x14ac:dyDescent="0.25">
      <c r="B19" s="20">
        <f>O19</f>
        <v>0.31900000000000001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7">
        <f>ROUND(VLOOKUP(D19,'October 2019'!$C$20:$N$52,12,0)*BaseIncrPerc2020,3)</f>
        <v>0.31900000000000001</v>
      </c>
    </row>
    <row r="20" spans="1:15" x14ac:dyDescent="0.25">
      <c r="B20" s="20">
        <f t="shared" ref="B20:B22" si="0">O20</f>
        <v>0.44700000000000001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7">
        <f>ROUND(VLOOKUP(D20,'October 2019'!$C$20:$N$52,12,0)*BaseIncrPerc2020,3)</f>
        <v>0.44700000000000001</v>
      </c>
    </row>
    <row r="21" spans="1:15" x14ac:dyDescent="0.25">
      <c r="B21" s="20">
        <f t="shared" si="0"/>
        <v>0.54100000000000004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7">
        <f>ROUND(VLOOKUP(D21,'October 2019'!$C$20:$N$52,12,0)*BaseIncrPerc2020,3)</f>
        <v>0.54100000000000004</v>
      </c>
    </row>
    <row r="22" spans="1:15" x14ac:dyDescent="0.25">
      <c r="B22" s="20">
        <f t="shared" si="0"/>
        <v>0.63500000000000001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7">
        <f>ROUND(VLOOKUP(D22,'October 2019'!$C$20:$N$52,12,0)*BaseIncrPerc2020,3)</f>
        <v>0.63500000000000001</v>
      </c>
    </row>
    <row r="23" spans="1:15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5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5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5" x14ac:dyDescent="0.25">
      <c r="B26" s="18" t="s">
        <v>105</v>
      </c>
      <c r="C26" s="19"/>
      <c r="D26" s="19"/>
      <c r="E26" s="67"/>
      <c r="F26" s="19"/>
      <c r="G26" s="74">
        <f>O26</f>
        <v>7.0000000000000007E-2</v>
      </c>
      <c r="H26" s="19" t="s">
        <v>106</v>
      </c>
      <c r="I26" s="19"/>
      <c r="J26" s="21"/>
      <c r="K26" s="21"/>
      <c r="L26" s="21"/>
      <c r="M26" s="21"/>
      <c r="O26" s="77">
        <f>VLOOKUP(B26,'October 2019'!$A$26:$I$27,6,0)</f>
        <v>7.0000000000000007E-2</v>
      </c>
    </row>
    <row r="27" spans="1:15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5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5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5" x14ac:dyDescent="0.25">
      <c r="A30" t="s">
        <v>118</v>
      </c>
      <c r="B30" s="20">
        <f t="shared" ref="B30:B34" si="1">O30</f>
        <v>0.35099999999999998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7">
        <f>ROUND(VLOOKUP(D30,'October 2019'!$C$20:$N$52,12,0)*BaseIncrPerc2020,3)</f>
        <v>0.35099999999999998</v>
      </c>
    </row>
    <row r="31" spans="1:15" x14ac:dyDescent="0.25">
      <c r="A31" s="4" t="s">
        <v>117</v>
      </c>
      <c r="B31" s="20">
        <f t="shared" si="1"/>
        <v>0.35099999999999998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7">
        <f>ROUND(VLOOKUP(D31,'October 2019'!$C$20:$N$52,12,0)*BaseIncrPerc2020,3)</f>
        <v>0.35099999999999998</v>
      </c>
    </row>
    <row r="32" spans="1:15" x14ac:dyDescent="0.25">
      <c r="A32" t="s">
        <v>119</v>
      </c>
      <c r="B32" s="20">
        <f t="shared" si="1"/>
        <v>0.84499999999999997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7">
        <f>ROUND(VLOOKUP(D32,'October 2019'!$C$20:$N$52,12,0)*BaseIncrPerc2020,3)</f>
        <v>0.84499999999999997</v>
      </c>
    </row>
    <row r="33" spans="1:16" x14ac:dyDescent="0.25">
      <c r="A33" t="s">
        <v>120</v>
      </c>
      <c r="B33" s="20">
        <f t="shared" si="1"/>
        <v>0.39500000000000002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7">
        <f>ROUND(VLOOKUP(D33,'October 2019'!$C$20:$N$52,12,0)*BaseIncrPerc2020,3)</f>
        <v>0.39500000000000002</v>
      </c>
    </row>
    <row r="34" spans="1:16" x14ac:dyDescent="0.25">
      <c r="A34" t="s">
        <v>121</v>
      </c>
      <c r="B34" s="20">
        <f t="shared" si="1"/>
        <v>1.1539999999999999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7">
        <f>ROUND(VLOOKUP(D34,'October 2019'!$C$20:$N$52,12,0)*BaseIncrPerc2020,3)</f>
        <v>1.1539999999999999</v>
      </c>
    </row>
    <row r="36" spans="1:16" s="26" customFormat="1" x14ac:dyDescent="0.25">
      <c r="B36" s="26" t="s">
        <v>60</v>
      </c>
      <c r="E36" s="70"/>
      <c r="O36" s="78"/>
      <c r="P36" s="78"/>
    </row>
    <row r="37" spans="1:16" x14ac:dyDescent="0.25">
      <c r="B37" s="26" t="s">
        <v>45</v>
      </c>
    </row>
    <row r="38" spans="1:16" x14ac:dyDescent="0.25">
      <c r="A38" t="s">
        <v>124</v>
      </c>
      <c r="B38" s="20">
        <f t="shared" ref="B38:B40" si="2">O38</f>
        <v>0.56200000000000006</v>
      </c>
      <c r="D38" s="4" t="s">
        <v>61</v>
      </c>
      <c r="M38" s="21"/>
      <c r="O38" s="77">
        <f>ROUND(VLOOKUP(D38,'October 2019'!$C$20:$N$52,12,0)*BaseIncrPerc2020,3)</f>
        <v>0.56200000000000006</v>
      </c>
    </row>
    <row r="39" spans="1:16" x14ac:dyDescent="0.25">
      <c r="A39" t="s">
        <v>123</v>
      </c>
      <c r="B39" s="20">
        <f t="shared" si="2"/>
        <v>0.84799999999999998</v>
      </c>
      <c r="D39" s="4" t="s">
        <v>48</v>
      </c>
      <c r="M39" s="21"/>
      <c r="O39" s="77">
        <f>ROUND(VLOOKUP(D39,'October 2019'!$C$20:$N$52,12,0)*BaseIncrPerc2020,3)</f>
        <v>0.84799999999999998</v>
      </c>
    </row>
    <row r="40" spans="1:16" x14ac:dyDescent="0.25">
      <c r="A40" t="s">
        <v>122</v>
      </c>
      <c r="B40" s="20">
        <f t="shared" si="2"/>
        <v>1.1339999999999999</v>
      </c>
      <c r="D40" s="4" t="s">
        <v>49</v>
      </c>
      <c r="M40" s="21"/>
      <c r="O40" s="77">
        <f>ROUND(VLOOKUP(D40,'October 2019'!$C$20:$N$52,12,0)*BaseIncrPerc2020,3)</f>
        <v>1.1339999999999999</v>
      </c>
    </row>
    <row r="42" spans="1:16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16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16" x14ac:dyDescent="0.25">
      <c r="A44" t="s">
        <v>125</v>
      </c>
      <c r="B44" s="22">
        <f>O44</f>
        <v>0.65</v>
      </c>
      <c r="D44" s="18" t="s">
        <v>52</v>
      </c>
      <c r="E44" s="73"/>
      <c r="F44" s="33"/>
      <c r="G44" s="35"/>
      <c r="H44" s="35"/>
      <c r="I44" s="35"/>
      <c r="L44" s="33"/>
      <c r="M44" s="33"/>
      <c r="O44" s="77">
        <f>ROUND(VLOOKUP(D44,'October 2019'!$C$20:$N$52,12,0)*ShiftIncrPerc2020,3)</f>
        <v>0.65</v>
      </c>
    </row>
    <row r="45" spans="1:16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16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16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16" x14ac:dyDescent="0.25">
      <c r="A48" s="4" t="s">
        <v>126</v>
      </c>
      <c r="B48" s="22">
        <f>O48</f>
        <v>1.2210000000000001</v>
      </c>
      <c r="D48" s="18" t="s">
        <v>151</v>
      </c>
      <c r="E48" s="73"/>
      <c r="F48" s="29"/>
      <c r="G48" s="29"/>
      <c r="H48" s="35"/>
      <c r="I48" s="35"/>
      <c r="M48" s="33"/>
      <c r="O48" s="77">
        <v>1.2210000000000001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8E9CB-831A-47F2-89B5-5AE5352EA6BE}">
  <dimension ref="A1:T49"/>
  <sheetViews>
    <sheetView showGridLines="0" topLeftCell="B1" workbookViewId="0">
      <selection activeCell="B19" sqref="B19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75" bestFit="1" customWidth="1"/>
    <col min="16" max="16" width="34.140625" style="75" bestFit="1" customWidth="1"/>
    <col min="17" max="18" width="7.5703125" style="75" bestFit="1" customWidth="1"/>
    <col min="19" max="20" width="9.140625" style="75"/>
    <col min="21" max="16384" width="9.140625" style="4"/>
  </cols>
  <sheetData>
    <row r="1" spans="2:20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20" x14ac:dyDescent="0.25">
      <c r="B2" s="5" t="s">
        <v>107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20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20" x14ac:dyDescent="0.25">
      <c r="C4" s="2"/>
      <c r="D4" s="2"/>
      <c r="E4" s="64"/>
      <c r="F4" s="2"/>
      <c r="G4" s="2"/>
      <c r="H4" s="3"/>
      <c r="I4" s="3"/>
      <c r="J4" s="3"/>
    </row>
    <row r="5" spans="2:20" s="10" customFormat="1" ht="66.75" customHeight="1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3" t="s">
        <v>71</v>
      </c>
      <c r="P5" s="83" t="s">
        <v>142</v>
      </c>
      <c r="Q5" s="84" t="s">
        <v>4</v>
      </c>
      <c r="R5" s="84" t="s">
        <v>5</v>
      </c>
      <c r="S5" s="84" t="s">
        <v>6</v>
      </c>
      <c r="T5" s="84" t="s">
        <v>7</v>
      </c>
    </row>
    <row r="6" spans="2:20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ROUND(VLOOKUP($D6,'May 2020'!$D$6:$M$13,7,0)*BaseIncrPerc2021,3)</f>
        <v>29.931999999999999</v>
      </c>
      <c r="K6" s="50">
        <f>ROUND(VLOOKUP($D6,'May 2020'!$D$6:$M$13,8,0)*BaseIncrPerc2021,3)</f>
        <v>31.361000000000001</v>
      </c>
      <c r="L6" s="50">
        <f>ROUND(VLOOKUP($D6,'May 2020'!$D$6:$M$13,9,0)*BaseIncrPerc2021,3)</f>
        <v>32.863999999999997</v>
      </c>
      <c r="M6" s="50">
        <f>ROUND(VLOOKUP($D6,'May 2020'!$D$6:$M$13,10,0)*BaseIncrPerc2021,3)</f>
        <v>34.44</v>
      </c>
      <c r="N6" s="58"/>
      <c r="O6" s="75" t="str">
        <f>D6</f>
        <v>52951C</v>
      </c>
      <c r="P6" s="75" t="str">
        <f>F6</f>
        <v>Water Loss Specialist</v>
      </c>
      <c r="Q6" s="77">
        <f>J6</f>
        <v>29.931999999999999</v>
      </c>
      <c r="R6" s="77">
        <f t="shared" ref="R6:T6" si="0">K6</f>
        <v>31.361000000000001</v>
      </c>
      <c r="S6" s="77">
        <f t="shared" si="0"/>
        <v>32.863999999999997</v>
      </c>
      <c r="T6" s="77">
        <f t="shared" si="0"/>
        <v>34.44</v>
      </c>
    </row>
    <row r="7" spans="2:20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ROUND(VLOOKUP($D7,'May 2020'!$D$6:$M$13,7,0)*BaseIncrPerc2021,3)</f>
        <v>19.068999999999999</v>
      </c>
      <c r="K7" s="40"/>
      <c r="L7" s="40"/>
      <c r="M7" s="40"/>
      <c r="O7" s="75" t="str">
        <f t="shared" ref="O7:O13" si="1">D7</f>
        <v>52917C</v>
      </c>
      <c r="P7" s="75" t="str">
        <f t="shared" ref="P7:P13" si="2">F7</f>
        <v>Water Distribution Operator Trainee</v>
      </c>
      <c r="Q7" s="77">
        <f t="shared" ref="Q7:Q13" si="3">J7</f>
        <v>19.068999999999999</v>
      </c>
      <c r="R7" s="77"/>
      <c r="S7" s="77"/>
      <c r="T7" s="77"/>
    </row>
    <row r="8" spans="2:20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ROUND(VLOOKUP($D8,'May 2020'!$D$6:$M$13,7,0)*BaseIncrPerc2021,3)</f>
        <v>25.858000000000001</v>
      </c>
      <c r="K8" s="50">
        <f>ROUND(VLOOKUP($D8,'May 2020'!$D$6:$M$13,8,0)*BaseIncrPerc2021,3)</f>
        <v>27.146000000000001</v>
      </c>
      <c r="L8" s="50">
        <f>ROUND(VLOOKUP($D8,'May 2020'!$D$6:$M$13,9,0)*BaseIncrPerc2021,3)</f>
        <v>28.5</v>
      </c>
      <c r="M8" s="50">
        <f>ROUND(VLOOKUP($D8,'May 2020'!$D$6:$M$13,10,0)*BaseIncrPerc2021,3)</f>
        <v>29.922000000000001</v>
      </c>
      <c r="N8" s="58"/>
      <c r="O8" s="75" t="str">
        <f t="shared" si="1"/>
        <v>52938C</v>
      </c>
      <c r="P8" s="75" t="str">
        <f t="shared" si="2"/>
        <v>Water Distribution Operator</v>
      </c>
      <c r="Q8" s="77">
        <f t="shared" si="3"/>
        <v>25.858000000000001</v>
      </c>
      <c r="R8" s="77">
        <f t="shared" ref="R8:R13" si="4">K8</f>
        <v>27.146000000000001</v>
      </c>
      <c r="S8" s="77">
        <f t="shared" ref="S8:S13" si="5">L8</f>
        <v>28.5</v>
      </c>
      <c r="T8" s="77">
        <f t="shared" ref="T8:T13" si="6">M8</f>
        <v>29.922000000000001</v>
      </c>
    </row>
    <row r="9" spans="2:20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ROUND(VLOOKUP($D9,'May 2020'!$D$6:$M$13,7,0)*BaseIncrPerc2021,3)</f>
        <v>27.585999999999999</v>
      </c>
      <c r="K9" s="59">
        <f>ROUND(VLOOKUP($D9,'May 2020'!$D$6:$M$13,8,0)*BaseIncrPerc2021,3)</f>
        <v>28.905999999999999</v>
      </c>
      <c r="L9" s="59">
        <f>ROUND(VLOOKUP($D9,'May 2020'!$D$6:$M$13,9,0)*BaseIncrPerc2021,3)</f>
        <v>30.29</v>
      </c>
      <c r="M9" s="59">
        <f>ROUND(VLOOKUP($D9,'May 2020'!$D$6:$M$13,10,0)*BaseIncrPerc2021,3)</f>
        <v>31.74</v>
      </c>
      <c r="O9" s="75" t="str">
        <f t="shared" si="1"/>
        <v>52939C</v>
      </c>
      <c r="P9" s="75" t="str">
        <f t="shared" si="2"/>
        <v>Senior Water Distribution Operator</v>
      </c>
      <c r="Q9" s="77">
        <f t="shared" si="3"/>
        <v>27.585999999999999</v>
      </c>
      <c r="R9" s="77">
        <f t="shared" si="4"/>
        <v>28.905999999999999</v>
      </c>
      <c r="S9" s="77">
        <f t="shared" si="5"/>
        <v>30.29</v>
      </c>
      <c r="T9" s="77">
        <f t="shared" si="6"/>
        <v>31.74</v>
      </c>
    </row>
    <row r="10" spans="2:20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ROUND(VLOOKUP($D10,'May 2020'!$D$6:$M$13,7,0),3)</f>
        <v>25.619</v>
      </c>
      <c r="K10" s="50">
        <f>ROUND(VLOOKUP($D10,'May 2020'!$D$6:$M$13,8,0),3)</f>
        <v>26.917999999999999</v>
      </c>
      <c r="L10" s="50">
        <f>ROUND(VLOOKUP($D10,'May 2020'!$D$6:$M$13,9,0)*BaseIncrPerc2021,3)</f>
        <v>28.954000000000001</v>
      </c>
      <c r="M10" s="50">
        <f>ROUND(VLOOKUP($D10,'May 2020'!$D$6:$M$13,10,0),3)</f>
        <v>29.646999999999998</v>
      </c>
      <c r="O10" s="75" t="str">
        <f t="shared" si="1"/>
        <v>02235C</v>
      </c>
      <c r="P10" s="75" t="str">
        <f t="shared" si="2"/>
        <v>Commercial Meter Service Worker**</v>
      </c>
      <c r="Q10" s="77">
        <f t="shared" si="3"/>
        <v>25.619</v>
      </c>
      <c r="R10" s="77">
        <f t="shared" si="4"/>
        <v>26.917999999999999</v>
      </c>
      <c r="S10" s="77">
        <f t="shared" si="5"/>
        <v>28.954000000000001</v>
      </c>
      <c r="T10" s="77">
        <f t="shared" si="6"/>
        <v>29.646999999999998</v>
      </c>
    </row>
    <row r="11" spans="2:20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ROUND(VLOOKUP($D11,'May 2020'!$D$6:$M$13,7,0),3)</f>
        <v>24.373999999999999</v>
      </c>
      <c r="K11" s="50">
        <f>ROUND(VLOOKUP($D11,'May 2020'!$D$6:$M$13,8,0),3)</f>
        <v>25.59</v>
      </c>
      <c r="L11" s="50">
        <f>ROUND(VLOOKUP($D11,'May 2020'!$D$6:$M$13,9,0)*BaseIncrPerc2021,3)</f>
        <v>27.521000000000001</v>
      </c>
      <c r="M11" s="50">
        <f>ROUND(VLOOKUP($D11,'May 2020'!$D$6:$M$13,10,0),3)</f>
        <v>28.193000000000001</v>
      </c>
      <c r="O11" s="75" t="str">
        <f t="shared" si="1"/>
        <v>08890C</v>
      </c>
      <c r="P11" s="75" t="str">
        <f t="shared" si="2"/>
        <v>Residential Meter Service Worker**</v>
      </c>
      <c r="Q11" s="77">
        <f t="shared" si="3"/>
        <v>24.373999999999999</v>
      </c>
      <c r="R11" s="77">
        <f t="shared" si="4"/>
        <v>25.59</v>
      </c>
      <c r="S11" s="77">
        <f t="shared" si="5"/>
        <v>27.521000000000001</v>
      </c>
      <c r="T11" s="77">
        <f t="shared" si="6"/>
        <v>28.193000000000001</v>
      </c>
    </row>
    <row r="12" spans="2:20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ROUND(VLOOKUP($D12,'May 2020'!$D$6:$M$13,7,0),3)</f>
        <v>24.4</v>
      </c>
      <c r="K12" s="50">
        <f>ROUND(VLOOKUP($D12,'May 2020'!$D$6:$M$13,8,0),3)</f>
        <v>25.925999999999998</v>
      </c>
      <c r="L12" s="50">
        <f>ROUND(VLOOKUP($D12,'May 2020'!$D$6:$M$13,9,0)*BaseIncrPerc2021,3)</f>
        <v>27.291</v>
      </c>
      <c r="M12" s="50">
        <f>ROUND(VLOOKUP($D12,'May 2020'!$D$6:$M$13,10,0),3)</f>
        <v>27.576000000000001</v>
      </c>
      <c r="O12" s="75" t="str">
        <f t="shared" si="1"/>
        <v>10940C</v>
      </c>
      <c r="P12" s="75" t="str">
        <f t="shared" si="2"/>
        <v>Water Works Service Worker I**</v>
      </c>
      <c r="Q12" s="77">
        <f t="shared" si="3"/>
        <v>24.4</v>
      </c>
      <c r="R12" s="77">
        <f t="shared" si="4"/>
        <v>25.925999999999998</v>
      </c>
      <c r="S12" s="77">
        <f t="shared" si="5"/>
        <v>27.291</v>
      </c>
      <c r="T12" s="77">
        <f t="shared" si="6"/>
        <v>27.576000000000001</v>
      </c>
    </row>
    <row r="13" spans="2:20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ROUND(VLOOKUP($D13,'May 2020'!$D$6:$M$13,7,0),3)</f>
        <v>25.672000000000001</v>
      </c>
      <c r="K13" s="50">
        <f>ROUND(VLOOKUP($D13,'May 2020'!$D$6:$M$13,8,0),3)</f>
        <v>26.821999999999999</v>
      </c>
      <c r="L13" s="50">
        <f>ROUND(VLOOKUP($D13,'May 2020'!$D$6:$M$13,9,0)*BaseIncrPerc2021,3)</f>
        <v>28.625</v>
      </c>
      <c r="M13" s="50">
        <f>ROUND(VLOOKUP($D13,'May 2020'!$D$6:$M$13,10,0),3)</f>
        <v>29.34</v>
      </c>
      <c r="O13" s="75" t="str">
        <f t="shared" si="1"/>
        <v>10950C</v>
      </c>
      <c r="P13" s="75" t="str">
        <f t="shared" si="2"/>
        <v>Water Works Service Worker II**</v>
      </c>
      <c r="Q13" s="77">
        <f t="shared" si="3"/>
        <v>25.672000000000001</v>
      </c>
      <c r="R13" s="77">
        <f t="shared" si="4"/>
        <v>26.821999999999999</v>
      </c>
      <c r="S13" s="77">
        <f t="shared" si="5"/>
        <v>28.625</v>
      </c>
      <c r="T13" s="77">
        <f t="shared" si="6"/>
        <v>29.34</v>
      </c>
    </row>
    <row r="14" spans="2:20" ht="30" customHeight="1" x14ac:dyDescent="0.25">
      <c r="B14" s="123" t="s">
        <v>94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</row>
    <row r="15" spans="2:20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20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7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7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7" x14ac:dyDescent="0.25">
      <c r="B19" s="20">
        <f>Q19</f>
        <v>0.32700000000000001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5" t="s">
        <v>127</v>
      </c>
      <c r="Q19" s="77">
        <f>ROUND(VLOOKUP(D19,'May 2020'!$D$19:$O$51,12,0)*BaseIncrPerc2021,3)</f>
        <v>0.32700000000000001</v>
      </c>
    </row>
    <row r="20" spans="1:17" x14ac:dyDescent="0.25">
      <c r="B20" s="20">
        <f t="shared" ref="B20:B22" si="7">Q20</f>
        <v>0.45800000000000002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5" t="s">
        <v>128</v>
      </c>
      <c r="Q20" s="77">
        <f>ROUND(VLOOKUP(D20,'May 2020'!$D$19:$O$51,12,0)*BaseIncrPerc2021,3)</f>
        <v>0.45800000000000002</v>
      </c>
    </row>
    <row r="21" spans="1:17" x14ac:dyDescent="0.25">
      <c r="B21" s="20">
        <f t="shared" si="7"/>
        <v>0.55500000000000005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5" t="s">
        <v>129</v>
      </c>
      <c r="Q21" s="77">
        <f>ROUND(VLOOKUP(D21,'May 2020'!$D$19:$O$51,12,0)*BaseIncrPerc2021,3)</f>
        <v>0.55500000000000005</v>
      </c>
    </row>
    <row r="22" spans="1:17" x14ac:dyDescent="0.25">
      <c r="B22" s="20">
        <f t="shared" si="7"/>
        <v>0.65100000000000002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5" t="s">
        <v>130</v>
      </c>
      <c r="Q22" s="77">
        <f>ROUND(VLOOKUP(D22,'May 2020'!$D$19:$O$51,12,0)*BaseIncrPerc2021,3)</f>
        <v>0.65100000000000002</v>
      </c>
    </row>
    <row r="23" spans="1:17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7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7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7" x14ac:dyDescent="0.25">
      <c r="B26" s="18" t="s">
        <v>105</v>
      </c>
      <c r="C26" s="19"/>
      <c r="D26" s="19"/>
      <c r="E26" s="67"/>
      <c r="F26" s="19"/>
      <c r="G26" s="74">
        <v>7.0000000000000007E-2</v>
      </c>
      <c r="H26" s="19" t="s">
        <v>106</v>
      </c>
      <c r="I26" s="19"/>
      <c r="J26" s="21"/>
      <c r="K26" s="21"/>
      <c r="L26" s="21"/>
      <c r="M26" s="21"/>
      <c r="O26" s="75" t="s">
        <v>33</v>
      </c>
      <c r="Q26" s="77">
        <f>G26</f>
        <v>7.0000000000000007E-2</v>
      </c>
    </row>
    <row r="27" spans="1:17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7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7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7" x14ac:dyDescent="0.25">
      <c r="A30" t="s">
        <v>118</v>
      </c>
      <c r="B30" s="20">
        <f t="shared" ref="B30:B34" si="8">Q30</f>
        <v>0.36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5" t="s">
        <v>118</v>
      </c>
      <c r="P30" s="75" t="s">
        <v>131</v>
      </c>
      <c r="Q30" s="77">
        <f>ROUND(VLOOKUP(D30,'May 2020'!$D$19:$O$51,12,0)*BaseIncrPerc2021,3)</f>
        <v>0.36</v>
      </c>
    </row>
    <row r="31" spans="1:17" x14ac:dyDescent="0.25">
      <c r="A31" s="4" t="s">
        <v>117</v>
      </c>
      <c r="B31" s="20">
        <f t="shared" si="8"/>
        <v>0.36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5" t="s">
        <v>117</v>
      </c>
      <c r="P31" s="75" t="s">
        <v>132</v>
      </c>
      <c r="Q31" s="77">
        <f>ROUND(VLOOKUP(D31,'May 2020'!$D$19:$O$51,12,0)*BaseIncrPerc2021,3)</f>
        <v>0.36</v>
      </c>
    </row>
    <row r="32" spans="1:17" x14ac:dyDescent="0.25">
      <c r="A32" t="s">
        <v>119</v>
      </c>
      <c r="B32" s="20">
        <f t="shared" si="8"/>
        <v>0.86599999999999999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5" t="s">
        <v>119</v>
      </c>
      <c r="P32" s="75" t="s">
        <v>133</v>
      </c>
      <c r="Q32" s="77">
        <f>ROUND(VLOOKUP(D32,'May 2020'!$D$19:$O$51,12,0)*BaseIncrPerc2021,3)</f>
        <v>0.86599999999999999</v>
      </c>
    </row>
    <row r="33" spans="1:20" x14ac:dyDescent="0.25">
      <c r="A33" t="s">
        <v>120</v>
      </c>
      <c r="B33" s="20">
        <f t="shared" si="8"/>
        <v>0.40500000000000003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5" t="s">
        <v>120</v>
      </c>
      <c r="P33" s="75" t="s">
        <v>134</v>
      </c>
      <c r="Q33" s="77">
        <f>ROUND(VLOOKUP(D33,'May 2020'!$D$19:$O$51,12,0)*BaseIncrPerc2021,3)</f>
        <v>0.40500000000000003</v>
      </c>
    </row>
    <row r="34" spans="1:20" x14ac:dyDescent="0.25">
      <c r="A34" t="s">
        <v>121</v>
      </c>
      <c r="B34" s="20">
        <f t="shared" si="8"/>
        <v>1.1830000000000001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5" t="s">
        <v>121</v>
      </c>
      <c r="P34" s="75" t="s">
        <v>135</v>
      </c>
      <c r="Q34" s="77">
        <f>ROUND(VLOOKUP(D34,'May 2020'!$D$19:$O$51,12,0)*BaseIncrPerc2021,3)</f>
        <v>1.1830000000000001</v>
      </c>
    </row>
    <row r="36" spans="1:20" s="26" customFormat="1" x14ac:dyDescent="0.25">
      <c r="B36" s="26" t="s">
        <v>60</v>
      </c>
      <c r="E36" s="70"/>
      <c r="O36" s="78"/>
      <c r="P36" s="78"/>
      <c r="Q36" s="78"/>
      <c r="R36" s="78"/>
      <c r="S36" s="78"/>
      <c r="T36" s="78"/>
    </row>
    <row r="37" spans="1:20" x14ac:dyDescent="0.25">
      <c r="B37" s="26" t="s">
        <v>45</v>
      </c>
    </row>
    <row r="38" spans="1:20" x14ac:dyDescent="0.25">
      <c r="A38" t="s">
        <v>124</v>
      </c>
      <c r="B38" s="20">
        <f t="shared" ref="B38:B40" si="9">Q38</f>
        <v>0.57599999999999996</v>
      </c>
      <c r="D38" s="4" t="s">
        <v>61</v>
      </c>
      <c r="M38" s="21"/>
      <c r="O38" s="75" t="s">
        <v>124</v>
      </c>
      <c r="P38" s="75" t="s">
        <v>136</v>
      </c>
      <c r="Q38" s="77">
        <f>ROUND(VLOOKUP(D38,'May 2020'!$D$19:$O$51,12,0)*BaseIncrPerc2021,3)</f>
        <v>0.57599999999999996</v>
      </c>
    </row>
    <row r="39" spans="1:20" x14ac:dyDescent="0.25">
      <c r="A39" t="s">
        <v>123</v>
      </c>
      <c r="B39" s="20">
        <f t="shared" si="9"/>
        <v>0.86899999999999999</v>
      </c>
      <c r="D39" s="4" t="s">
        <v>48</v>
      </c>
      <c r="M39" s="21"/>
      <c r="O39" s="75" t="s">
        <v>123</v>
      </c>
      <c r="P39" s="75" t="s">
        <v>137</v>
      </c>
      <c r="Q39" s="77">
        <f>ROUND(VLOOKUP(D39,'May 2020'!$D$19:$O$51,12,0)*BaseIncrPerc2021,3)</f>
        <v>0.86899999999999999</v>
      </c>
    </row>
    <row r="40" spans="1:20" x14ac:dyDescent="0.25">
      <c r="A40" t="s">
        <v>122</v>
      </c>
      <c r="B40" s="20">
        <f t="shared" si="9"/>
        <v>1.1619999999999999</v>
      </c>
      <c r="D40" s="4" t="s">
        <v>49</v>
      </c>
      <c r="M40" s="21"/>
      <c r="O40" s="75" t="s">
        <v>122</v>
      </c>
      <c r="P40" s="75" t="s">
        <v>138</v>
      </c>
      <c r="Q40" s="77">
        <f>ROUND(VLOOKUP(D40,'May 2020'!$D$19:$O$51,12,0)*BaseIncrPerc2021,3)</f>
        <v>1.1619999999999999</v>
      </c>
    </row>
    <row r="42" spans="1:20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20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20" x14ac:dyDescent="0.25">
      <c r="A44" t="s">
        <v>125</v>
      </c>
      <c r="B44" s="22">
        <f>Q44</f>
        <v>0.748</v>
      </c>
      <c r="D44" s="18" t="s">
        <v>52</v>
      </c>
      <c r="E44" s="73"/>
      <c r="F44" s="33"/>
      <c r="G44" s="35"/>
      <c r="H44" s="35"/>
      <c r="I44" s="35"/>
      <c r="L44" s="33"/>
      <c r="M44" s="33"/>
      <c r="O44" s="75" t="s">
        <v>125</v>
      </c>
      <c r="P44" s="75" t="s">
        <v>139</v>
      </c>
      <c r="Q44" s="77">
        <f>ROUND(VLOOKUP(D44,'May 2020'!$D$19:$O$51,12,0)*ShiftIncrPerc2020,3)</f>
        <v>0.748</v>
      </c>
    </row>
    <row r="45" spans="1:20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20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20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20" x14ac:dyDescent="0.25">
      <c r="A48" s="4" t="s">
        <v>126</v>
      </c>
      <c r="B48" s="22">
        <f>Q48</f>
        <v>1.251525</v>
      </c>
      <c r="D48" s="18" t="s">
        <v>152</v>
      </c>
      <c r="E48" s="73"/>
      <c r="F48" s="29"/>
      <c r="G48" s="29"/>
      <c r="H48" s="35"/>
      <c r="I48" s="35"/>
      <c r="M48" s="33"/>
      <c r="O48" s="75" t="s">
        <v>126</v>
      </c>
      <c r="P48" s="75" t="s">
        <v>140</v>
      </c>
      <c r="Q48" s="77">
        <f>1.221*ShiftIncrPerc2021v2</f>
        <v>1.251525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ECCB-6407-46A8-BDA6-22A535A1DB87}">
  <sheetPr>
    <tabColor theme="1"/>
  </sheetPr>
  <dimension ref="A1:AD49"/>
  <sheetViews>
    <sheetView showGridLines="0" topLeftCell="B1" workbookViewId="0">
      <selection activeCell="P30" sqref="P30"/>
    </sheetView>
  </sheetViews>
  <sheetFormatPr defaultColWidth="9.140625" defaultRowHeight="15" x14ac:dyDescent="0.25"/>
  <cols>
    <col min="1" max="1" width="0" style="4" hidden="1" customWidth="1"/>
    <col min="2" max="2" width="9.7109375" style="4" customWidth="1"/>
    <col min="3" max="3" width="9.7109375" style="4" hidden="1" customWidth="1"/>
    <col min="4" max="4" width="9.710937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140625" style="4"/>
    <col min="15" max="15" width="15.7109375" style="85" bestFit="1" customWidth="1"/>
    <col min="16" max="16" width="19.7109375" style="86" bestFit="1" customWidth="1"/>
    <col min="17" max="17" width="34.140625" style="85" bestFit="1" customWidth="1"/>
    <col min="18" max="22" width="9.140625" style="86"/>
    <col min="23" max="23" width="9.140625" style="4"/>
    <col min="24" max="24" width="12.28515625" style="94" bestFit="1" customWidth="1"/>
    <col min="25" max="25" width="34.140625" style="94" bestFit="1" customWidth="1"/>
    <col min="26" max="26" width="7.28515625" style="94" bestFit="1" customWidth="1"/>
    <col min="27" max="30" width="10.5703125" style="94" customWidth="1"/>
    <col min="31" max="16384" width="9.140625" style="4"/>
  </cols>
  <sheetData>
    <row r="1" spans="2:30" ht="18.75" x14ac:dyDescent="0.3">
      <c r="B1" s="1" t="s">
        <v>88</v>
      </c>
      <c r="C1" s="2"/>
      <c r="D1" s="2"/>
      <c r="E1" s="64"/>
      <c r="F1" s="2"/>
      <c r="G1" s="2"/>
      <c r="H1" s="3"/>
      <c r="I1" s="3"/>
      <c r="J1" s="3"/>
      <c r="O1" s="85" t="s">
        <v>145</v>
      </c>
      <c r="P1" s="86">
        <v>1.0249999999999999</v>
      </c>
    </row>
    <row r="2" spans="2:30" x14ac:dyDescent="0.25">
      <c r="B2" s="5" t="s">
        <v>108</v>
      </c>
      <c r="C2" s="2"/>
      <c r="D2" s="2"/>
      <c r="E2" s="64"/>
      <c r="F2" s="2"/>
      <c r="G2" s="2"/>
      <c r="H2" s="3"/>
      <c r="I2" s="3"/>
      <c r="J2" s="3"/>
      <c r="O2" s="85" t="s">
        <v>146</v>
      </c>
      <c r="P2" s="86">
        <v>1.1499999999999999</v>
      </c>
    </row>
    <row r="3" spans="2:30" x14ac:dyDescent="0.25">
      <c r="B3" s="5" t="s">
        <v>74</v>
      </c>
      <c r="C3" s="2"/>
      <c r="D3" s="2"/>
      <c r="E3" s="64"/>
      <c r="F3" s="2"/>
      <c r="G3" s="2"/>
      <c r="H3" s="3"/>
      <c r="I3" s="3"/>
      <c r="J3" s="3"/>
      <c r="O3" s="85" t="s">
        <v>147</v>
      </c>
      <c r="P3" s="86">
        <v>1.0249999999999999</v>
      </c>
    </row>
    <row r="4" spans="2:30" x14ac:dyDescent="0.25">
      <c r="C4" s="2"/>
      <c r="D4" s="2"/>
      <c r="E4" s="64"/>
      <c r="F4" s="2"/>
      <c r="G4" s="2"/>
      <c r="H4" s="3"/>
      <c r="I4" s="3"/>
      <c r="J4" s="3"/>
      <c r="O4" s="85" t="s">
        <v>143</v>
      </c>
      <c r="P4" s="86" t="s">
        <v>144</v>
      </c>
      <c r="S4" s="86">
        <v>3</v>
      </c>
      <c r="T4" s="86">
        <v>4</v>
      </c>
      <c r="U4" s="86">
        <v>5</v>
      </c>
      <c r="V4" s="86">
        <v>6</v>
      </c>
    </row>
    <row r="5" spans="2:30" s="10" customFormat="1" ht="30" x14ac:dyDescent="0.2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7" t="s">
        <v>150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7" t="s">
        <v>148</v>
      </c>
      <c r="P5" s="88" t="s">
        <v>71</v>
      </c>
      <c r="Q5" s="87" t="s">
        <v>141</v>
      </c>
      <c r="R5" s="88" t="s">
        <v>2</v>
      </c>
      <c r="S5" s="89" t="s">
        <v>4</v>
      </c>
      <c r="T5" s="89" t="s">
        <v>5</v>
      </c>
      <c r="U5" s="89" t="s">
        <v>6</v>
      </c>
      <c r="V5" s="89" t="s">
        <v>7</v>
      </c>
      <c r="X5" s="95" t="s">
        <v>71</v>
      </c>
      <c r="Y5" s="96" t="s">
        <v>141</v>
      </c>
      <c r="Z5" s="95" t="s">
        <v>2</v>
      </c>
      <c r="AA5" s="97" t="s">
        <v>4</v>
      </c>
      <c r="AB5" s="97" t="s">
        <v>5</v>
      </c>
      <c r="AC5" s="97" t="s">
        <v>6</v>
      </c>
      <c r="AD5" s="97" t="s">
        <v>7</v>
      </c>
    </row>
    <row r="6" spans="2:30" x14ac:dyDescent="0.2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ROUND(VLOOKUP($D6,'March 2021'!$D$6:$M$13,7,0)*BaseIncrPerc2022,3)</f>
        <v>30.68</v>
      </c>
      <c r="K6" s="50">
        <f>ROUND(VLOOKUP($D6,'March 2021'!$D$6:$M$13,8,0)*BaseIncrPerc2022,3)</f>
        <v>32.145000000000003</v>
      </c>
      <c r="L6" s="50">
        <f>ROUND(VLOOKUP($D6,'March 2021'!$D$6:$M$13,9,0)*BaseIncrPerc2022,3)</f>
        <v>33.686</v>
      </c>
      <c r="M6" s="50">
        <f>ROUND(VLOOKUP($D6,'March 2021'!$D$6:$M$13,10,0)*BaseIncrPerc2022,3)</f>
        <v>35.301000000000002</v>
      </c>
      <c r="N6" s="58"/>
      <c r="O6" s="85" t="s">
        <v>149</v>
      </c>
      <c r="P6" s="86" t="str">
        <f>D6</f>
        <v>52951C</v>
      </c>
      <c r="Q6" s="85" t="str">
        <f>F6</f>
        <v>Water Loss Specialist</v>
      </c>
      <c r="R6" s="90" t="str">
        <f>E6</f>
        <v>09</v>
      </c>
      <c r="S6" s="91" cm="1">
        <f t="array" aca="1" ref="S6" ca="1">IF($O6="Y",VLOOKUP($P6,INDIRECT($P$4),S$4,0)*INDIRECT($O$1),VLOOKUP($P6,INDIRECT($P$4),S$4,0))</f>
        <v>30.680299999999995</v>
      </c>
      <c r="T6" s="91" cm="1">
        <f t="array" aca="1" ref="T6" ca="1">IF($O6="Y",VLOOKUP($P6,INDIRECT($P$4),T$4,0)*INDIRECT($O$1),VLOOKUP($P6,INDIRECT($P$4),T$4,0))</f>
        <v>32.145024999999997</v>
      </c>
      <c r="U6" s="91" cm="1">
        <f t="array" aca="1" ref="U6" ca="1">IF($O6="Y",VLOOKUP($P6,INDIRECT($P$4),U$4,0)*INDIRECT($O$1),VLOOKUP($P6,INDIRECT($P$4),U$4,0))</f>
        <v>33.685599999999994</v>
      </c>
      <c r="V6" s="91" cm="1">
        <f t="array" aca="1" ref="V6" ca="1">IF($O6="Y",VLOOKUP($P6,INDIRECT($P$4),V$4,0)*INDIRECT($O$1),VLOOKUP($P6,INDIRECT($P$4),V$4,0))</f>
        <v>35.300999999999995</v>
      </c>
      <c r="X6" s="94" t="str">
        <f>P6</f>
        <v>52951C</v>
      </c>
      <c r="Y6" s="94" t="str">
        <f>Q6</f>
        <v>Water Loss Specialist</v>
      </c>
      <c r="Z6" s="98" t="str">
        <f>R6</f>
        <v>09</v>
      </c>
      <c r="AA6" s="99">
        <f ca="1">ROUND(S6,3)</f>
        <v>30.68</v>
      </c>
      <c r="AB6" s="99">
        <f t="shared" ref="AB6:AD6" ca="1" si="0">ROUND(T6,3)</f>
        <v>32.145000000000003</v>
      </c>
      <c r="AC6" s="99">
        <f t="shared" ca="1" si="0"/>
        <v>33.686</v>
      </c>
      <c r="AD6" s="99">
        <f t="shared" ca="1" si="0"/>
        <v>35.301000000000002</v>
      </c>
    </row>
    <row r="7" spans="2:30" x14ac:dyDescent="0.2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ROUND(VLOOKUP($D7,'March 2021'!$D$6:$M$13,7,0)*BaseIncrPerc2022,3)</f>
        <v>19.545999999999999</v>
      </c>
      <c r="K7" s="40"/>
      <c r="L7" s="40"/>
      <c r="M7" s="40"/>
      <c r="O7" s="85" t="s">
        <v>149</v>
      </c>
      <c r="P7" s="86" t="str">
        <f t="shared" ref="P7:P13" si="1">D7</f>
        <v>52917C</v>
      </c>
      <c r="Q7" s="85" t="str">
        <f t="shared" ref="Q7:Q13" si="2">F7</f>
        <v>Water Distribution Operator Trainee</v>
      </c>
      <c r="R7" s="90" t="str">
        <f t="shared" ref="R7:R13" si="3">E7</f>
        <v>04</v>
      </c>
      <c r="S7" s="91" cm="1">
        <f t="array" aca="1" ref="S7" ca="1">IF($O7="Y",VLOOKUP($P7,INDIRECT($P$4),S$4,0)*INDIRECT($O$1),VLOOKUP($P7,INDIRECT($P$4),S$4,0))</f>
        <v>19.545724999999997</v>
      </c>
      <c r="T7" s="91"/>
      <c r="U7" s="91"/>
      <c r="V7" s="91"/>
      <c r="X7" s="94" t="str">
        <f t="shared" ref="X7:X13" si="4">P7</f>
        <v>52917C</v>
      </c>
      <c r="Y7" s="94" t="str">
        <f t="shared" ref="Y7:Y13" si="5">Q7</f>
        <v>Water Distribution Operator Trainee</v>
      </c>
      <c r="Z7" s="98" t="str">
        <f t="shared" ref="Z7:Z13" si="6">R7</f>
        <v>04</v>
      </c>
      <c r="AA7" s="99">
        <f t="shared" ref="AA7:AA13" ca="1" si="7">ROUND(S7,3)</f>
        <v>19.545999999999999</v>
      </c>
      <c r="AB7" s="99"/>
      <c r="AC7" s="99"/>
      <c r="AD7" s="99"/>
    </row>
    <row r="8" spans="2:30" x14ac:dyDescent="0.2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ROUND(VLOOKUP($D8,'March 2021'!$D$6:$M$13,7,0)*BaseIncrPerc2022,3)</f>
        <v>26.504000000000001</v>
      </c>
      <c r="K8" s="50">
        <f>ROUND(VLOOKUP($D8,'March 2021'!$D$6:$M$13,8,0)*BaseIncrPerc2022,3)</f>
        <v>27.824999999999999</v>
      </c>
      <c r="L8" s="50">
        <f>ROUND(VLOOKUP($D8,'March 2021'!$D$6:$M$13,9,0)*BaseIncrPerc2022,3)</f>
        <v>29.213000000000001</v>
      </c>
      <c r="M8" s="50">
        <f>ROUND(VLOOKUP($D8,'March 2021'!$D$6:$M$13,10,0)*BaseIncrPerc2022,3)</f>
        <v>30.67</v>
      </c>
      <c r="N8" s="58"/>
      <c r="O8" s="85" t="s">
        <v>149</v>
      </c>
      <c r="P8" s="86" t="str">
        <f t="shared" si="1"/>
        <v>52938C</v>
      </c>
      <c r="Q8" s="85" t="str">
        <f t="shared" si="2"/>
        <v>Water Distribution Operator</v>
      </c>
      <c r="R8" s="90" t="str">
        <f t="shared" si="3"/>
        <v>01</v>
      </c>
      <c r="S8" s="91" cm="1">
        <f t="array" aca="1" ref="S8" ca="1">IF($O8="Y",VLOOKUP($P8,INDIRECT($P$4),S$4,0)*INDIRECT($O$1),VLOOKUP($P8,INDIRECT($P$4),S$4,0))</f>
        <v>26.504449999999999</v>
      </c>
      <c r="T8" s="91" cm="1">
        <f t="array" aca="1" ref="T8" ca="1">IF($O8="Y",VLOOKUP($P8,INDIRECT($P$4),T$4,0)*INDIRECT($O$1),VLOOKUP($P8,INDIRECT($P$4),T$4,0))</f>
        <v>27.824649999999998</v>
      </c>
      <c r="U8" s="91" cm="1">
        <f t="array" aca="1" ref="U8" ca="1">IF($O8="Y",VLOOKUP($P8,INDIRECT($P$4),U$4,0)*INDIRECT($O$1),VLOOKUP($P8,INDIRECT($P$4),U$4,0))</f>
        <v>29.212499999999999</v>
      </c>
      <c r="V8" s="91" cm="1">
        <f t="array" aca="1" ref="V8" ca="1">IF($O8="Y",VLOOKUP($P8,INDIRECT($P$4),V$4,0)*INDIRECT($O$1),VLOOKUP($P8,INDIRECT($P$4),V$4,0))</f>
        <v>30.670049999999996</v>
      </c>
      <c r="X8" s="94" t="str">
        <f t="shared" si="4"/>
        <v>52938C</v>
      </c>
      <c r="Y8" s="94" t="str">
        <f t="shared" si="5"/>
        <v>Water Distribution Operator</v>
      </c>
      <c r="Z8" s="98" t="str">
        <f t="shared" si="6"/>
        <v>01</v>
      </c>
      <c r="AA8" s="99">
        <f t="shared" ca="1" si="7"/>
        <v>26.504000000000001</v>
      </c>
      <c r="AB8" s="99">
        <f t="shared" ref="AB8:AB13" ca="1" si="8">ROUND(T8,3)</f>
        <v>27.824999999999999</v>
      </c>
      <c r="AC8" s="99">
        <f t="shared" ref="AC8:AD13" ca="1" si="9">ROUND(U8,3)</f>
        <v>29.213000000000001</v>
      </c>
      <c r="AD8" s="99">
        <f t="shared" ca="1" si="9"/>
        <v>30.67</v>
      </c>
    </row>
    <row r="9" spans="2:30" x14ac:dyDescent="0.2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ROUND(VLOOKUP($D9,'March 2021'!$D$6:$M$13,7,0)*BaseIncrPerc2022,3)</f>
        <v>28.276</v>
      </c>
      <c r="K9" s="59">
        <f>ROUND(VLOOKUP($D9,'March 2021'!$D$6:$M$13,8,0)*BaseIncrPerc2022,3)</f>
        <v>29.629000000000001</v>
      </c>
      <c r="L9" s="59">
        <f>ROUND(VLOOKUP($D9,'March 2021'!$D$6:$M$13,9,0)*BaseIncrPerc2022,3)</f>
        <v>31.047000000000001</v>
      </c>
      <c r="M9" s="59">
        <f>ROUND(VLOOKUP($D9,'March 2021'!$D$6:$M$13,10,0)*BaseIncrPerc2022,3)</f>
        <v>32.533999999999999</v>
      </c>
      <c r="O9" s="85" t="s">
        <v>149</v>
      </c>
      <c r="P9" s="86" t="str">
        <f t="shared" si="1"/>
        <v>52939C</v>
      </c>
      <c r="Q9" s="85" t="str">
        <f t="shared" si="2"/>
        <v>Senior Water Distribution Operator</v>
      </c>
      <c r="R9" s="90" t="str">
        <f t="shared" si="3"/>
        <v>02</v>
      </c>
      <c r="S9" s="91" cm="1">
        <f t="array" aca="1" ref="S9" ca="1">IF($O9="Y",VLOOKUP($P9,INDIRECT($P$4),S$4,0)*INDIRECT($O$1),VLOOKUP($P9,INDIRECT($P$4),S$4,0))</f>
        <v>28.275649999999995</v>
      </c>
      <c r="T9" s="91" cm="1">
        <f t="array" aca="1" ref="T9" ca="1">IF($O9="Y",VLOOKUP($P9,INDIRECT($P$4),T$4,0)*INDIRECT($O$1),VLOOKUP($P9,INDIRECT($P$4),T$4,0))</f>
        <v>29.628649999999997</v>
      </c>
      <c r="U9" s="91" cm="1">
        <f t="array" aca="1" ref="U9" ca="1">IF($O9="Y",VLOOKUP($P9,INDIRECT($P$4),U$4,0)*INDIRECT($O$1),VLOOKUP($P9,INDIRECT($P$4),U$4,0))</f>
        <v>31.047249999999995</v>
      </c>
      <c r="V9" s="91" cm="1">
        <f t="array" aca="1" ref="V9" ca="1">IF($O9="Y",VLOOKUP($P9,INDIRECT($P$4),V$4,0)*INDIRECT($O$1),VLOOKUP($P9,INDIRECT($P$4),V$4,0))</f>
        <v>32.533499999999997</v>
      </c>
      <c r="X9" s="94" t="str">
        <f t="shared" si="4"/>
        <v>52939C</v>
      </c>
      <c r="Y9" s="94" t="str">
        <f t="shared" si="5"/>
        <v>Senior Water Distribution Operator</v>
      </c>
      <c r="Z9" s="98" t="str">
        <f t="shared" si="6"/>
        <v>02</v>
      </c>
      <c r="AA9" s="99">
        <f t="shared" ca="1" si="7"/>
        <v>28.276</v>
      </c>
      <c r="AB9" s="99">
        <f t="shared" ca="1" si="8"/>
        <v>29.629000000000001</v>
      </c>
      <c r="AC9" s="99">
        <f t="shared" ca="1" si="9"/>
        <v>31.047000000000001</v>
      </c>
      <c r="AD9" s="99">
        <f t="shared" ca="1" si="9"/>
        <v>32.533999999999999</v>
      </c>
    </row>
    <row r="10" spans="2:30" x14ac:dyDescent="0.2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ROUND(VLOOKUP($D10,'March 2021'!$D$6:$M$13,7,0),3)</f>
        <v>25.619</v>
      </c>
      <c r="K10" s="50">
        <f>ROUND(VLOOKUP($D10,'March 2021'!$D$6:$M$13,8,0),3)</f>
        <v>26.917999999999999</v>
      </c>
      <c r="L10" s="50">
        <f>ROUND(VLOOKUP($D10,'March 2021'!$D$6:$M$13,9,0),3)</f>
        <v>28.954000000000001</v>
      </c>
      <c r="M10" s="50">
        <f>ROUND(VLOOKUP($D10,'March 2021'!$D$6:$M$13,10,0),3)</f>
        <v>29.646999999999998</v>
      </c>
      <c r="O10" s="85" t="s">
        <v>8</v>
      </c>
      <c r="P10" s="86" t="str">
        <f t="shared" si="1"/>
        <v>02235C</v>
      </c>
      <c r="Q10" s="85" t="str">
        <f t="shared" si="2"/>
        <v>Commercial Meter Service Worker**</v>
      </c>
      <c r="R10" s="90" t="str">
        <f t="shared" si="3"/>
        <v>05</v>
      </c>
      <c r="S10" s="91" cm="1">
        <f t="array" aca="1" ref="S10" ca="1">IF($O10="Y",VLOOKUP($P10,INDIRECT($P$4),S$4,0)*INDIRECT($O$1),VLOOKUP($P10,INDIRECT($P$4),S$4,0))</f>
        <v>25.619</v>
      </c>
      <c r="T10" s="91" cm="1">
        <f t="array" aca="1" ref="T10" ca="1">IF($O10="Y",VLOOKUP($P10,INDIRECT($P$4),T$4,0)*INDIRECT($O$1),VLOOKUP($P10,INDIRECT($P$4),T$4,0))</f>
        <v>26.917999999999999</v>
      </c>
      <c r="U10" s="91" cm="1">
        <f t="array" aca="1" ref="U10" ca="1">IF($O10="Y",VLOOKUP($P10,INDIRECT($P$4),U$4,0)*INDIRECT($O$1),VLOOKUP($P10,INDIRECT($P$4),U$4,0))</f>
        <v>28.954000000000001</v>
      </c>
      <c r="V10" s="91" cm="1">
        <f t="array" aca="1" ref="V10" ca="1">IF($O10="Y",VLOOKUP($P10,INDIRECT($P$4),V$4,0)*INDIRECT($O$1),VLOOKUP($P10,INDIRECT($P$4),V$4,0))</f>
        <v>29.646999999999998</v>
      </c>
      <c r="X10" s="94" t="str">
        <f t="shared" si="4"/>
        <v>02235C</v>
      </c>
      <c r="Y10" s="94" t="str">
        <f t="shared" si="5"/>
        <v>Commercial Meter Service Worker**</v>
      </c>
      <c r="Z10" s="98" t="str">
        <f t="shared" si="6"/>
        <v>05</v>
      </c>
      <c r="AA10" s="99">
        <f t="shared" ca="1" si="7"/>
        <v>25.619</v>
      </c>
      <c r="AB10" s="99">
        <f t="shared" ca="1" si="8"/>
        <v>26.917999999999999</v>
      </c>
      <c r="AC10" s="99">
        <f t="shared" ca="1" si="9"/>
        <v>28.954000000000001</v>
      </c>
      <c r="AD10" s="99">
        <f t="shared" ca="1" si="9"/>
        <v>29.646999999999998</v>
      </c>
    </row>
    <row r="11" spans="2:30" x14ac:dyDescent="0.2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ROUND(VLOOKUP($D11,'March 2021'!$D$6:$M$13,7,0),3)</f>
        <v>24.373999999999999</v>
      </c>
      <c r="K11" s="50">
        <f>ROUND(VLOOKUP($D11,'March 2021'!$D$6:$M$13,8,0),3)</f>
        <v>25.59</v>
      </c>
      <c r="L11" s="50">
        <f>ROUND(VLOOKUP($D11,'March 2021'!$D$6:$M$13,9,0),3)</f>
        <v>27.521000000000001</v>
      </c>
      <c r="M11" s="50">
        <f>ROUND(VLOOKUP($D11,'March 2021'!$D$6:$M$13,10,0),3)</f>
        <v>28.193000000000001</v>
      </c>
      <c r="O11" s="85" t="s">
        <v>8</v>
      </c>
      <c r="P11" s="86" t="str">
        <f t="shared" si="1"/>
        <v>08890C</v>
      </c>
      <c r="Q11" s="85" t="str">
        <f t="shared" si="2"/>
        <v>Residential Meter Service Worker**</v>
      </c>
      <c r="R11" s="90" t="str">
        <f t="shared" si="3"/>
        <v>06</v>
      </c>
      <c r="S11" s="91" cm="1">
        <f t="array" aca="1" ref="S11" ca="1">IF($O11="Y",VLOOKUP($P11,INDIRECT($P$4),S$4,0)*INDIRECT($O$1),VLOOKUP($P11,INDIRECT($P$4),S$4,0))</f>
        <v>24.373999999999999</v>
      </c>
      <c r="T11" s="91" cm="1">
        <f t="array" aca="1" ref="T11" ca="1">IF($O11="Y",VLOOKUP($P11,INDIRECT($P$4),T$4,0)*INDIRECT($O$1),VLOOKUP($P11,INDIRECT($P$4),T$4,0))</f>
        <v>25.59</v>
      </c>
      <c r="U11" s="91" cm="1">
        <f t="array" aca="1" ref="U11" ca="1">IF($O11="Y",VLOOKUP($P11,INDIRECT($P$4),U$4,0)*INDIRECT($O$1),VLOOKUP($P11,INDIRECT($P$4),U$4,0))</f>
        <v>27.521000000000001</v>
      </c>
      <c r="V11" s="91" cm="1">
        <f t="array" aca="1" ref="V11" ca="1">IF($O11="Y",VLOOKUP($P11,INDIRECT($P$4),V$4,0)*INDIRECT($O$1),VLOOKUP($P11,INDIRECT($P$4),V$4,0))</f>
        <v>28.193000000000001</v>
      </c>
      <c r="X11" s="94" t="str">
        <f t="shared" si="4"/>
        <v>08890C</v>
      </c>
      <c r="Y11" s="94" t="str">
        <f t="shared" si="5"/>
        <v>Residential Meter Service Worker**</v>
      </c>
      <c r="Z11" s="98" t="str">
        <f t="shared" si="6"/>
        <v>06</v>
      </c>
      <c r="AA11" s="99">
        <f t="shared" ca="1" si="7"/>
        <v>24.373999999999999</v>
      </c>
      <c r="AB11" s="99">
        <f t="shared" ca="1" si="8"/>
        <v>25.59</v>
      </c>
      <c r="AC11" s="99">
        <f t="shared" ca="1" si="9"/>
        <v>27.521000000000001</v>
      </c>
      <c r="AD11" s="99">
        <f t="shared" ca="1" si="9"/>
        <v>28.193000000000001</v>
      </c>
    </row>
    <row r="12" spans="2:30" x14ac:dyDescent="0.2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ROUND(VLOOKUP($D12,'March 2021'!$D$6:$M$13,7,0),3)</f>
        <v>24.4</v>
      </c>
      <c r="K12" s="50">
        <f>ROUND(VLOOKUP($D12,'March 2021'!$D$6:$M$13,8,0),3)</f>
        <v>25.925999999999998</v>
      </c>
      <c r="L12" s="50">
        <f>ROUND(VLOOKUP($D12,'March 2021'!$D$6:$M$13,9,0),3)</f>
        <v>27.291</v>
      </c>
      <c r="M12" s="50">
        <f>ROUND(VLOOKUP($D12,'March 2021'!$D$6:$M$13,10,0),3)</f>
        <v>27.576000000000001</v>
      </c>
      <c r="O12" s="85" t="s">
        <v>8</v>
      </c>
      <c r="P12" s="86" t="str">
        <f t="shared" si="1"/>
        <v>10940C</v>
      </c>
      <c r="Q12" s="85" t="str">
        <f t="shared" si="2"/>
        <v>Water Works Service Worker I**</v>
      </c>
      <c r="R12" s="90" t="str">
        <f t="shared" si="3"/>
        <v>07</v>
      </c>
      <c r="S12" s="91" cm="1">
        <f t="array" aca="1" ref="S12" ca="1">IF($O12="Y",VLOOKUP($P12,INDIRECT($P$4),S$4,0)*INDIRECT($O$1),VLOOKUP($P12,INDIRECT($P$4),S$4,0))</f>
        <v>24.4</v>
      </c>
      <c r="T12" s="91" cm="1">
        <f t="array" aca="1" ref="T12" ca="1">IF($O12="Y",VLOOKUP($P12,INDIRECT($P$4),T$4,0)*INDIRECT($O$1),VLOOKUP($P12,INDIRECT($P$4),T$4,0))</f>
        <v>25.925999999999998</v>
      </c>
      <c r="U12" s="91" cm="1">
        <f t="array" aca="1" ref="U12" ca="1">IF($O12="Y",VLOOKUP($P12,INDIRECT($P$4),U$4,0)*INDIRECT($O$1),VLOOKUP($P12,INDIRECT($P$4),U$4,0))</f>
        <v>27.291</v>
      </c>
      <c r="V12" s="91" cm="1">
        <f t="array" aca="1" ref="V12" ca="1">IF($O12="Y",VLOOKUP($P12,INDIRECT($P$4),V$4,0)*INDIRECT($O$1),VLOOKUP($P12,INDIRECT($P$4),V$4,0))</f>
        <v>27.576000000000001</v>
      </c>
      <c r="X12" s="94" t="str">
        <f t="shared" si="4"/>
        <v>10940C</v>
      </c>
      <c r="Y12" s="94" t="str">
        <f t="shared" si="5"/>
        <v>Water Works Service Worker I**</v>
      </c>
      <c r="Z12" s="98" t="str">
        <f t="shared" si="6"/>
        <v>07</v>
      </c>
      <c r="AA12" s="99">
        <f t="shared" ca="1" si="7"/>
        <v>24.4</v>
      </c>
      <c r="AB12" s="99">
        <f t="shared" ca="1" si="8"/>
        <v>25.925999999999998</v>
      </c>
      <c r="AC12" s="99">
        <f t="shared" ca="1" si="9"/>
        <v>27.291</v>
      </c>
      <c r="AD12" s="99">
        <f t="shared" ca="1" si="9"/>
        <v>27.576000000000001</v>
      </c>
    </row>
    <row r="13" spans="2:30" x14ac:dyDescent="0.2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ROUND(VLOOKUP($D13,'March 2021'!$D$6:$M$13,7,0),3)</f>
        <v>25.672000000000001</v>
      </c>
      <c r="K13" s="50">
        <f>ROUND(VLOOKUP($D13,'March 2021'!$D$6:$M$13,8,0),3)</f>
        <v>26.821999999999999</v>
      </c>
      <c r="L13" s="50">
        <f>ROUND(VLOOKUP($D13,'March 2021'!$D$6:$M$13,9,0),3)</f>
        <v>28.625</v>
      </c>
      <c r="M13" s="50">
        <f>ROUND(VLOOKUP($D13,'March 2021'!$D$6:$M$13,10,0),3)</f>
        <v>29.34</v>
      </c>
      <c r="O13" s="85" t="s">
        <v>8</v>
      </c>
      <c r="P13" s="86" t="str">
        <f t="shared" si="1"/>
        <v>10950C</v>
      </c>
      <c r="Q13" s="85" t="str">
        <f t="shared" si="2"/>
        <v>Water Works Service Worker II**</v>
      </c>
      <c r="R13" s="90" t="str">
        <f t="shared" si="3"/>
        <v>03</v>
      </c>
      <c r="S13" s="91" cm="1">
        <f t="array" aca="1" ref="S13" ca="1">IF($O13="Y",VLOOKUP($P13,INDIRECT($P$4),S$4,0)*INDIRECT($O$1),VLOOKUP($P13,INDIRECT($P$4),S$4,0))</f>
        <v>25.672000000000001</v>
      </c>
      <c r="T13" s="91" cm="1">
        <f t="array" aca="1" ref="T13" ca="1">IF($O13="Y",VLOOKUP($P13,INDIRECT($P$4),T$4,0)*INDIRECT($O$1),VLOOKUP($P13,INDIRECT($P$4),T$4,0))</f>
        <v>26.821999999999999</v>
      </c>
      <c r="U13" s="91" cm="1">
        <f t="array" aca="1" ref="U13" ca="1">IF($O13="Y",VLOOKUP($P13,INDIRECT($P$4),U$4,0)*INDIRECT($O$1),VLOOKUP($P13,INDIRECT($P$4),U$4,0))</f>
        <v>28.625</v>
      </c>
      <c r="V13" s="91" cm="1">
        <f t="array" aca="1" ref="V13" ca="1">IF($O13="Y",VLOOKUP($P13,INDIRECT($P$4),V$4,0)*INDIRECT($O$1),VLOOKUP($P13,INDIRECT($P$4),V$4,0))</f>
        <v>29.34</v>
      </c>
      <c r="X13" s="94" t="str">
        <f t="shared" si="4"/>
        <v>10950C</v>
      </c>
      <c r="Y13" s="94" t="str">
        <f t="shared" si="5"/>
        <v>Water Works Service Worker II**</v>
      </c>
      <c r="Z13" s="98" t="str">
        <f t="shared" si="6"/>
        <v>03</v>
      </c>
      <c r="AA13" s="99">
        <f t="shared" ca="1" si="7"/>
        <v>25.672000000000001</v>
      </c>
      <c r="AB13" s="99">
        <f t="shared" ca="1" si="8"/>
        <v>26.821999999999999</v>
      </c>
      <c r="AC13" s="99">
        <f t="shared" ca="1" si="9"/>
        <v>28.625</v>
      </c>
      <c r="AD13" s="99">
        <f t="shared" ca="1" si="9"/>
        <v>29.34</v>
      </c>
    </row>
    <row r="14" spans="2:30" ht="30" customHeight="1" x14ac:dyDescent="0.25">
      <c r="B14" s="123" t="s">
        <v>94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</row>
    <row r="15" spans="2:30" x14ac:dyDescent="0.2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30" x14ac:dyDescent="0.2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27" x14ac:dyDescent="0.2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27" x14ac:dyDescent="0.2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27" x14ac:dyDescent="0.25">
      <c r="B19" s="20">
        <f ca="1">S19</f>
        <v>0.335175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127</v>
      </c>
      <c r="S19" s="91" cm="1">
        <f t="array" aca="1" ref="S19" ca="1">IF($O19="Y",VLOOKUP($P19,INDIRECT($P$4),S$4,0)*INDIRECT($O$1),VLOOKUP($P19,INDIRECT($P$4),S$4,0))</f>
        <v>0.335175</v>
      </c>
      <c r="X19" s="94" t="str">
        <f>P19</f>
        <v>Year 10</v>
      </c>
      <c r="AA19" s="99">
        <f t="shared" ref="AA19:AA22" ca="1" si="10">ROUND(S19,3)</f>
        <v>0.33500000000000002</v>
      </c>
    </row>
    <row r="20" spans="1:27" x14ac:dyDescent="0.25">
      <c r="B20" s="20">
        <f t="shared" ref="B20:B22" ca="1" si="11">S20</f>
        <v>0.46944999999999998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128</v>
      </c>
      <c r="S20" s="91" cm="1">
        <f t="array" aca="1" ref="S20" ca="1">IF($O20="Y",VLOOKUP($P20,INDIRECT($P$4),S$4,0)*INDIRECT($O$1),VLOOKUP($P20,INDIRECT($P$4),S$4,0))</f>
        <v>0.46944999999999998</v>
      </c>
      <c r="X20" s="94" t="str">
        <f t="shared" ref="X20:X22" si="12">P20</f>
        <v>Year 15</v>
      </c>
      <c r="AA20" s="99">
        <f t="shared" ca="1" si="10"/>
        <v>0.46899999999999997</v>
      </c>
    </row>
    <row r="21" spans="1:27" x14ac:dyDescent="0.25">
      <c r="B21" s="20">
        <f t="shared" ca="1" si="11"/>
        <v>0.56887500000000002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85" t="s">
        <v>149</v>
      </c>
      <c r="P21" s="86" t="s">
        <v>129</v>
      </c>
      <c r="S21" s="91" cm="1">
        <f t="array" aca="1" ref="S21" ca="1">IF($O21="Y",VLOOKUP($P21,INDIRECT($P$4),S$4,0)*INDIRECT($O$1),VLOOKUP($P21,INDIRECT($P$4),S$4,0))</f>
        <v>0.56887500000000002</v>
      </c>
      <c r="X21" s="94" t="str">
        <f t="shared" si="12"/>
        <v>Year 20</v>
      </c>
      <c r="AA21" s="99">
        <f t="shared" ca="1" si="10"/>
        <v>0.56899999999999995</v>
      </c>
    </row>
    <row r="22" spans="1:27" x14ac:dyDescent="0.25">
      <c r="B22" s="20">
        <f t="shared" ca="1" si="11"/>
        <v>0.66727499999999995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85" t="s">
        <v>149</v>
      </c>
      <c r="P22" s="86" t="s">
        <v>130</v>
      </c>
      <c r="S22" s="91" cm="1">
        <f t="array" aca="1" ref="S22" ca="1">IF($O22="Y",VLOOKUP($P22,INDIRECT($P$4),S$4,0)*INDIRECT($O$1),VLOOKUP($P22,INDIRECT($P$4),S$4,0))</f>
        <v>0.66727499999999995</v>
      </c>
      <c r="X22" s="94" t="str">
        <f t="shared" si="12"/>
        <v>Year 25</v>
      </c>
      <c r="AA22" s="99">
        <f t="shared" ca="1" si="10"/>
        <v>0.66700000000000004</v>
      </c>
    </row>
    <row r="23" spans="1:27" x14ac:dyDescent="0.2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27" x14ac:dyDescent="0.2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27" x14ac:dyDescent="0.2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27" x14ac:dyDescent="0.25">
      <c r="B26" s="18" t="s">
        <v>105</v>
      </c>
      <c r="C26" s="19"/>
      <c r="D26" s="19"/>
      <c r="E26" s="67"/>
      <c r="F26" s="19"/>
      <c r="G26" s="74">
        <f ca="1">S26</f>
        <v>7.0000000000000007E-2</v>
      </c>
      <c r="H26" s="19" t="s">
        <v>106</v>
      </c>
      <c r="I26" s="19"/>
      <c r="J26" s="21"/>
      <c r="K26" s="21"/>
      <c r="L26" s="21"/>
      <c r="M26" s="21"/>
      <c r="O26" s="85" t="s">
        <v>8</v>
      </c>
      <c r="P26" s="86" t="s">
        <v>33</v>
      </c>
      <c r="S26" s="91" cm="1">
        <f t="array" aca="1" ref="S26" ca="1">IF($O26="Y",VLOOKUP($P26,INDIRECT($P$4),S$4,0)*INDIRECT($O$1),VLOOKUP($P26,INDIRECT($P$4),S$4,0))</f>
        <v>7.0000000000000007E-2</v>
      </c>
      <c r="X26" s="94" t="str">
        <f t="shared" ref="X26" si="13">P26</f>
        <v>Safety Shoes</v>
      </c>
      <c r="AA26" s="99">
        <f t="shared" ref="AA26" ca="1" si="14">ROUND(S26,3)</f>
        <v>7.0000000000000007E-2</v>
      </c>
    </row>
    <row r="27" spans="1:27" x14ac:dyDescent="0.2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27" x14ac:dyDescent="0.2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27" x14ac:dyDescent="0.2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27" x14ac:dyDescent="0.25">
      <c r="A30" t="s">
        <v>118</v>
      </c>
      <c r="B30" s="20">
        <f ca="1">S30</f>
        <v>0.36899999999999994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85" t="s">
        <v>149</v>
      </c>
      <c r="P30" s="86" t="s">
        <v>118</v>
      </c>
      <c r="Q30" s="85" t="s">
        <v>131</v>
      </c>
      <c r="S30" s="91" cm="1">
        <f t="array" aca="1" ref="S30" ca="1">IF($O30="Y",VLOOKUP($P30,INDIRECT($P$4),S$4,0)*INDIRECT($O$1),VLOOKUP($P30,INDIRECT($P$4),S$4,0))</f>
        <v>0.36899999999999994</v>
      </c>
      <c r="X30" s="94" t="str">
        <f t="shared" ref="X30:Y34" si="15">P30</f>
        <v>CAWGTT</v>
      </c>
      <c r="Y30" s="94" t="str">
        <f t="shared" si="15"/>
        <v>TL-Gate Truck Premium-CAW</v>
      </c>
      <c r="AA30" s="99">
        <f t="shared" ref="AA30:AA34" ca="1" si="16">ROUND(S30,3)</f>
        <v>0.36899999999999999</v>
      </c>
    </row>
    <row r="31" spans="1:27" x14ac:dyDescent="0.25">
      <c r="A31" s="4" t="s">
        <v>117</v>
      </c>
      <c r="B31" s="20">
        <f t="shared" ref="B31:B34" ca="1" si="17">S31</f>
        <v>0.36899999999999994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85" t="s">
        <v>149</v>
      </c>
      <c r="P31" s="86" t="s">
        <v>117</v>
      </c>
      <c r="Q31" s="85" t="s">
        <v>132</v>
      </c>
      <c r="S31" s="91" cm="1">
        <f t="array" aca="1" ref="S31" ca="1">IF($O31="Y",VLOOKUP($P31,INDIRECT($P$4),S$4,0)*INDIRECT($O$1),VLOOKUP($P31,INDIRECT($P$4),S$4,0))</f>
        <v>0.36899999999999994</v>
      </c>
      <c r="X31" s="94" t="str">
        <f t="shared" si="15"/>
        <v>CAWTAP</v>
      </c>
      <c r="Y31" s="94" t="str">
        <f t="shared" si="15"/>
        <v>TL-Small Taper Premium-CAW</v>
      </c>
      <c r="AA31" s="99">
        <f t="shared" ca="1" si="16"/>
        <v>0.36899999999999999</v>
      </c>
    </row>
    <row r="32" spans="1:27" x14ac:dyDescent="0.25">
      <c r="A32" t="s">
        <v>119</v>
      </c>
      <c r="B32" s="20">
        <f t="shared" ca="1" si="17"/>
        <v>0.88764999999999994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85" t="s">
        <v>149</v>
      </c>
      <c r="P32" s="86" t="s">
        <v>119</v>
      </c>
      <c r="Q32" s="85" t="s">
        <v>133</v>
      </c>
      <c r="S32" s="91" cm="1">
        <f t="array" aca="1" ref="S32" ca="1">IF($O32="Y",VLOOKUP($P32,INDIRECT($P$4),S$4,0)*INDIRECT($O$1),VLOOKUP($P32,INDIRECT($P$4),S$4,0))</f>
        <v>0.88764999999999994</v>
      </c>
      <c r="X32" s="94" t="str">
        <f t="shared" si="15"/>
        <v>CAWLEK</v>
      </c>
      <c r="Y32" s="94" t="str">
        <f t="shared" si="15"/>
        <v>TL-Leak Investigator/Loctr-CAW</v>
      </c>
      <c r="AA32" s="99">
        <f t="shared" ca="1" si="16"/>
        <v>0.88800000000000001</v>
      </c>
    </row>
    <row r="33" spans="1:30" x14ac:dyDescent="0.25">
      <c r="A33" t="s">
        <v>120</v>
      </c>
      <c r="B33" s="20">
        <f t="shared" ca="1" si="17"/>
        <v>0.41512499999999997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85" t="s">
        <v>149</v>
      </c>
      <c r="P33" s="86" t="s">
        <v>120</v>
      </c>
      <c r="Q33" s="85" t="s">
        <v>134</v>
      </c>
      <c r="S33" s="91" cm="1">
        <f t="array" aca="1" ref="S33" ca="1">IF($O33="Y",VLOOKUP($P33,INDIRECT($P$4),S$4,0)*INDIRECT($O$1),VLOOKUP($P33,INDIRECT($P$4),S$4,0))</f>
        <v>0.41512499999999997</v>
      </c>
      <c r="X33" s="94" t="str">
        <f t="shared" si="15"/>
        <v>CAWHWP</v>
      </c>
      <c r="Y33" s="94" t="str">
        <f t="shared" si="15"/>
        <v>TL-Hazwoper-CAW</v>
      </c>
      <c r="AA33" s="99">
        <f t="shared" ca="1" si="16"/>
        <v>0.41499999999999998</v>
      </c>
    </row>
    <row r="34" spans="1:30" x14ac:dyDescent="0.25">
      <c r="A34" t="s">
        <v>121</v>
      </c>
      <c r="B34" s="20">
        <f t="shared" ca="1" si="17"/>
        <v>1.212575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85" t="s">
        <v>149</v>
      </c>
      <c r="P34" s="86" t="s">
        <v>121</v>
      </c>
      <c r="Q34" s="85" t="s">
        <v>135</v>
      </c>
      <c r="S34" s="91" cm="1">
        <f t="array" aca="1" ref="S34" ca="1">IF($O34="Y",VLOOKUP($P34,INDIRECT($P$4),S$4,0)*INDIRECT($O$1),VLOOKUP($P34,INDIRECT($P$4),S$4,0))</f>
        <v>1.212575</v>
      </c>
      <c r="X34" s="94" t="str">
        <f t="shared" si="15"/>
        <v>CAWRSP</v>
      </c>
      <c r="Y34" s="94" t="str">
        <f t="shared" si="15"/>
        <v>TL-Respirator-CAW</v>
      </c>
      <c r="AA34" s="99">
        <f t="shared" ca="1" si="16"/>
        <v>1.2130000000000001</v>
      </c>
    </row>
    <row r="36" spans="1:30" s="26" customFormat="1" x14ac:dyDescent="0.25">
      <c r="B36" s="26" t="s">
        <v>60</v>
      </c>
      <c r="E36" s="70"/>
      <c r="O36" s="92"/>
      <c r="P36" s="93"/>
      <c r="Q36" s="92"/>
      <c r="R36" s="93"/>
      <c r="S36" s="93"/>
      <c r="T36" s="93"/>
      <c r="U36" s="93"/>
      <c r="V36" s="93"/>
      <c r="X36" s="100"/>
      <c r="Y36" s="100"/>
      <c r="Z36" s="100"/>
      <c r="AA36" s="100"/>
      <c r="AB36" s="100"/>
      <c r="AC36" s="100"/>
      <c r="AD36" s="100"/>
    </row>
    <row r="37" spans="1:30" x14ac:dyDescent="0.25">
      <c r="B37" s="26" t="s">
        <v>45</v>
      </c>
    </row>
    <row r="38" spans="1:30" x14ac:dyDescent="0.25">
      <c r="A38" t="s">
        <v>124</v>
      </c>
      <c r="B38" s="20">
        <f t="shared" ref="B38:B40" ca="1" si="18">S38</f>
        <v>0.59039999999999992</v>
      </c>
      <c r="D38" s="4" t="s">
        <v>61</v>
      </c>
      <c r="M38" s="21"/>
      <c r="O38" s="85" t="s">
        <v>149</v>
      </c>
      <c r="P38" s="86" t="s">
        <v>124</v>
      </c>
      <c r="Q38" s="85" t="s">
        <v>136</v>
      </c>
      <c r="S38" s="91" cm="1">
        <f t="array" aca="1" ref="S38" ca="1">IF($O38="Y",VLOOKUP($P38,INDIRECT($P$4),S$4,0)*INDIRECT($O$1),VLOOKUP($P38,INDIRECT($P$4),S$4,0))</f>
        <v>0.59039999999999992</v>
      </c>
      <c r="X38" s="94" t="str">
        <f t="shared" ref="X38:X40" si="19">P38</f>
        <v>CAWWOC</v>
      </c>
      <c r="Y38" s="94" t="str">
        <f t="shared" ref="Y38:Y40" si="20">Q38</f>
        <v>Water Operator Certification-C</v>
      </c>
      <c r="AA38" s="99">
        <f t="shared" ref="AA38:AA40" ca="1" si="21">ROUND(S38,3)</f>
        <v>0.59</v>
      </c>
    </row>
    <row r="39" spans="1:30" x14ac:dyDescent="0.25">
      <c r="A39" t="s">
        <v>123</v>
      </c>
      <c r="B39" s="20">
        <f t="shared" ca="1" si="18"/>
        <v>0.89072499999999988</v>
      </c>
      <c r="D39" s="4" t="s">
        <v>48</v>
      </c>
      <c r="M39" s="21"/>
      <c r="O39" s="85" t="s">
        <v>149</v>
      </c>
      <c r="P39" s="86" t="s">
        <v>123</v>
      </c>
      <c r="Q39" s="85" t="s">
        <v>137</v>
      </c>
      <c r="S39" s="91" cm="1">
        <f t="array" aca="1" ref="S39" ca="1">IF($O39="Y",VLOOKUP($P39,INDIRECT($P$4),S$4,0)*INDIRECT($O$1),VLOOKUP($P39,INDIRECT($P$4),S$4,0))</f>
        <v>0.89072499999999988</v>
      </c>
      <c r="X39" s="94" t="str">
        <f t="shared" si="19"/>
        <v>CAWWOB</v>
      </c>
      <c r="Y39" s="94" t="str">
        <f t="shared" si="20"/>
        <v>Water Operator Certification-B</v>
      </c>
      <c r="AA39" s="99">
        <f t="shared" ca="1" si="21"/>
        <v>0.89100000000000001</v>
      </c>
    </row>
    <row r="40" spans="1:30" x14ac:dyDescent="0.25">
      <c r="A40" t="s">
        <v>122</v>
      </c>
      <c r="B40" s="20">
        <f t="shared" ca="1" si="18"/>
        <v>1.1910499999999997</v>
      </c>
      <c r="D40" s="4" t="s">
        <v>49</v>
      </c>
      <c r="M40" s="21"/>
      <c r="O40" s="85" t="s">
        <v>149</v>
      </c>
      <c r="P40" s="86" t="s">
        <v>122</v>
      </c>
      <c r="Q40" s="85" t="s">
        <v>138</v>
      </c>
      <c r="S40" s="91" cm="1">
        <f t="array" aca="1" ref="S40" ca="1">IF($O40="Y",VLOOKUP($P40,INDIRECT($P$4),S$4,0)*INDIRECT($O$1),VLOOKUP($P40,INDIRECT($P$4),S$4,0))</f>
        <v>1.1910499999999997</v>
      </c>
      <c r="X40" s="94" t="str">
        <f t="shared" si="19"/>
        <v>CAWWOA</v>
      </c>
      <c r="Y40" s="94" t="str">
        <f t="shared" si="20"/>
        <v>Water Operator Certification-A</v>
      </c>
      <c r="AA40" s="99">
        <f t="shared" ca="1" si="21"/>
        <v>1.1910000000000001</v>
      </c>
    </row>
    <row r="42" spans="1:30" x14ac:dyDescent="0.2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30" x14ac:dyDescent="0.2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30" x14ac:dyDescent="0.25">
      <c r="A44" t="s">
        <v>125</v>
      </c>
      <c r="B44" s="22">
        <f ca="1">S44</f>
        <v>0.86019999999999996</v>
      </c>
      <c r="D44" s="18" t="s">
        <v>52</v>
      </c>
      <c r="E44" s="73"/>
      <c r="F44" s="33"/>
      <c r="G44" s="35"/>
      <c r="H44" s="35"/>
      <c r="I44" s="35"/>
      <c r="L44" s="33"/>
      <c r="M44" s="33"/>
      <c r="O44" s="85" t="s">
        <v>149</v>
      </c>
      <c r="P44" s="86" t="s">
        <v>125</v>
      </c>
      <c r="Q44" s="85" t="s">
        <v>139</v>
      </c>
      <c r="S44" s="91">
        <f ca="1">IF($O44="Y",VLOOKUP($P44,INDIRECT($P$4),S$4,0)*ShiftIncrPerc2022,VLOOKUP($P44,INDIRECT($P$4),S$4,0))</f>
        <v>0.86019999999999996</v>
      </c>
      <c r="X44" s="94" t="str">
        <f t="shared" ref="X44" si="22">P44</f>
        <v>CAWEVE</v>
      </c>
      <c r="Y44" s="94" t="str">
        <f t="shared" ref="Y44" si="23">Q44</f>
        <v>TL-Afternoon Shift Premium-CAW</v>
      </c>
      <c r="AA44" s="99">
        <f t="shared" ref="AA44" ca="1" si="24">ROUND(S44,3)</f>
        <v>0.86</v>
      </c>
    </row>
    <row r="45" spans="1:30" x14ac:dyDescent="0.2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30" x14ac:dyDescent="0.2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30" x14ac:dyDescent="0.2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30" x14ac:dyDescent="0.25">
      <c r="A48" s="4" t="s">
        <v>126</v>
      </c>
      <c r="B48" s="22">
        <f ca="1">S48</f>
        <v>1.2828131249999999</v>
      </c>
      <c r="D48" s="18" t="s">
        <v>153</v>
      </c>
      <c r="E48" s="73"/>
      <c r="F48" s="29"/>
      <c r="G48" s="29"/>
      <c r="H48" s="35"/>
      <c r="I48" s="35"/>
      <c r="M48" s="33"/>
      <c r="O48" s="85" t="s">
        <v>149</v>
      </c>
      <c r="P48" s="86" t="s">
        <v>126</v>
      </c>
      <c r="Q48" s="85" t="s">
        <v>140</v>
      </c>
      <c r="S48" s="91" cm="1">
        <f t="array" aca="1" ref="S48" ca="1">IF($O48="Y",VLOOKUP($P48,INDIRECT($P$4),S$4,0)*INDIRECT($O$1),VLOOKUP($P48,INDIRECT($P$4),S$4,0))</f>
        <v>1.2828131249999999</v>
      </c>
      <c r="X48" s="94" t="str">
        <f t="shared" ref="X48" si="25">P48</f>
        <v>CAWNIT</v>
      </c>
      <c r="Y48" s="94" t="str">
        <f t="shared" ref="Y48" si="26">Q48</f>
        <v>TL-Night Shift Premium-CPL</v>
      </c>
      <c r="AA48" s="99">
        <f t="shared" ref="AA48" ca="1" si="27">ROUND(S48,3)</f>
        <v>1.2829999999999999</v>
      </c>
    </row>
    <row r="49" spans="2:13" x14ac:dyDescent="0.2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335A-FB2B-462A-BC43-54AC01CB9F53}">
  <dimension ref="A1:AD60"/>
  <sheetViews>
    <sheetView showGridLines="0" topLeftCell="B1" workbookViewId="0">
      <selection activeCell="F57" sqref="F57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25.42578125" style="4" customWidth="1"/>
    <col min="15" max="15" width="19.85546875" style="85" hidden="1" customWidth="1"/>
    <col min="16" max="16" width="14.5703125" style="86" hidden="1" customWidth="1"/>
    <col min="17" max="17" width="33.85546875" style="85" hidden="1" customWidth="1"/>
    <col min="18" max="18" width="6.5703125" style="86" hidden="1" customWidth="1"/>
    <col min="19" max="22" width="7.5703125" style="86" hidden="1" customWidth="1"/>
    <col min="23" max="23" width="9.140625" style="4" hidden="1" customWidth="1"/>
    <col min="24" max="24" width="12.28515625" style="94" hidden="1" customWidth="1"/>
    <col min="25" max="25" width="33.85546875" style="94" hidden="1" customWidth="1"/>
    <col min="26" max="26" width="4.28515625" style="94" hidden="1" customWidth="1"/>
    <col min="27" max="27" width="7.5703125" style="99" hidden="1" customWidth="1"/>
    <col min="28" max="30" width="7.5703125" style="94" hidden="1" customWidth="1"/>
    <col min="31" max="16384" width="9.140625" style="4"/>
  </cols>
  <sheetData>
    <row r="1" spans="2:30" x14ac:dyDescent="0.25">
      <c r="B1" s="4" t="s">
        <v>191</v>
      </c>
    </row>
    <row r="2" spans="2:30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179</v>
      </c>
      <c r="P2" s="101">
        <v>1.0249999999999999</v>
      </c>
      <c r="Q2" s="107" t="s">
        <v>159</v>
      </c>
      <c r="R2" s="91">
        <v>0.88800000000000001</v>
      </c>
    </row>
    <row r="3" spans="2:30" x14ac:dyDescent="0.25">
      <c r="B3" s="114" t="str">
        <f>"Effective January 1, 2023 ("&amp;TEXT(BaseIncrPerc2023-1,"#.00%")&amp;" increase)"</f>
        <v>Effective January 1, 2023 (2.50%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155</v>
      </c>
    </row>
    <row r="4" spans="2:30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O4" s="85" t="s">
        <v>157</v>
      </c>
      <c r="P4" s="91">
        <v>0.03</v>
      </c>
      <c r="Q4" s="85" t="s">
        <v>162</v>
      </c>
    </row>
    <row r="5" spans="2:30" x14ac:dyDescent="0.25">
      <c r="B5" s="121" t="s">
        <v>184</v>
      </c>
      <c r="C5" s="2"/>
      <c r="D5" s="2"/>
      <c r="E5" s="64"/>
      <c r="F5" s="2"/>
      <c r="G5" s="2"/>
      <c r="H5" s="3"/>
      <c r="I5" s="3"/>
      <c r="J5" s="3"/>
      <c r="O5" s="85" t="s">
        <v>158</v>
      </c>
      <c r="P5" s="91">
        <v>0.125</v>
      </c>
      <c r="S5" s="86">
        <v>4</v>
      </c>
      <c r="T5" s="86">
        <v>5</v>
      </c>
      <c r="U5" s="86">
        <v>6</v>
      </c>
      <c r="V5" s="86">
        <v>7</v>
      </c>
    </row>
    <row r="6" spans="2:30" x14ac:dyDescent="0.2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30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2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32.365307499999993</v>
      </c>
      <c r="K8" s="50">
        <f t="shared" ref="K8:M8" ca="1" si="0">T8</f>
        <v>33.866650624999991</v>
      </c>
      <c r="L8" s="50">
        <f t="shared" ca="1" si="0"/>
        <v>35.445739999999986</v>
      </c>
      <c r="M8" s="50">
        <f t="shared" ca="1" si="0"/>
        <v>37.101524999999988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IF($O8="Y",VLOOKUP($P8,INDIRECT($P$3),S$5,0)*INDIRECT($O$2),VLOOKUP($P8,INDIRECT($P$3),S$5,0))+ShoePremium+LeakLocaterPrem2</f>
        <v>32.365307499999993</v>
      </c>
      <c r="T8" s="91" cm="1">
        <f t="array" aca="1" ref="T8" ca="1">IF($O8="Y",VLOOKUP($P8,INDIRECT($P$3),T$5,0)*INDIRECT($O$2),VLOOKUP($P8,INDIRECT($P$3),T$5,0))+ShoePremium+LeakLocaterPrem2</f>
        <v>33.866650624999991</v>
      </c>
      <c r="U8" s="91" cm="1">
        <f t="array" aca="1" ref="U8" ca="1">IF($O8="Y",VLOOKUP($P8,INDIRECT($P$3),U$5,0)*INDIRECT($O$2),VLOOKUP($P8,INDIRECT($P$3),U$5,0))+ShoePremium+LeakLocaterPrem2</f>
        <v>35.445739999999986</v>
      </c>
      <c r="V8" s="91" cm="1">
        <f t="array" aca="1" ref="V8" ca="1">IF($O8="Y",VLOOKUP($P8,INDIRECT($P$3),V$5,0)*INDIRECT($O$2),VLOOKUP($P8,INDIRECT($P$3),V$5,0))+ShoePremium+LeakLocaterPrem2</f>
        <v>37.101524999999988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32.365000000000002</v>
      </c>
      <c r="AB8" s="99">
        <f t="shared" ref="AB8:AD8" ca="1" si="1">ROUND(T8,3)</f>
        <v>33.866999999999997</v>
      </c>
      <c r="AC8" s="99">
        <f t="shared" ca="1" si="1"/>
        <v>35.445999999999998</v>
      </c>
      <c r="AD8" s="99">
        <f t="shared" ca="1" si="1"/>
        <v>37.101999999999997</v>
      </c>
    </row>
    <row r="9" spans="2:30" x14ac:dyDescent="0.2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" ca="1" si="2">S9</f>
        <v>20.189368124999998</v>
      </c>
      <c r="K9" s="51" t="str">
        <f ca="1">TEXT(T9,"$#.000")&amp;"*"</f>
        <v>$22.344*</v>
      </c>
      <c r="L9" s="40"/>
      <c r="M9" s="40"/>
      <c r="O9" s="85" t="s">
        <v>149</v>
      </c>
      <c r="P9" s="86" t="str">
        <f t="shared" ref="P9:P11" si="3">D9</f>
        <v>52917C</v>
      </c>
      <c r="Q9" s="85" t="str">
        <f t="shared" ref="Q9:Q11" si="4">F9</f>
        <v>Water Distribution Operator Trainee</v>
      </c>
      <c r="R9" s="90" t="str">
        <f t="shared" ref="R9:R11" si="5">E9</f>
        <v>04</v>
      </c>
      <c r="S9" s="91" cm="1">
        <f t="array" aca="1" ref="S9" ca="1">IF($O9="Y",VLOOKUP($P9,INDIRECT($P$3),S$5,0)*INDIRECT($O$2),VLOOKUP($P9,INDIRECT($P$3),S$5,0))+ShoePremium+LeakLocaterPremium</f>
        <v>20.189368124999998</v>
      </c>
      <c r="T9" s="91">
        <f ca="1">S9+2+ShoePremium+LeakLocaterPremium</f>
        <v>22.344368124999999</v>
      </c>
      <c r="U9" s="91"/>
      <c r="V9" s="91"/>
      <c r="X9" s="94" t="str">
        <f t="shared" ref="X9:Z11" si="6">P9</f>
        <v>52917C</v>
      </c>
      <c r="Y9" s="94" t="str">
        <f t="shared" si="6"/>
        <v>Water Distribution Operator Trainee</v>
      </c>
      <c r="Z9" s="98" t="str">
        <f t="shared" si="6"/>
        <v>04</v>
      </c>
      <c r="AA9" s="99">
        <f t="shared" ref="AA9:AD11" ca="1" si="7">ROUND(S9,3)</f>
        <v>20.189</v>
      </c>
      <c r="AB9" s="99">
        <f t="shared" ca="1" si="7"/>
        <v>22.344000000000001</v>
      </c>
      <c r="AC9" s="99"/>
      <c r="AD9" s="99"/>
    </row>
    <row r="10" spans="2:30" x14ac:dyDescent="0.2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ref="J10:J11" ca="1" si="8">S10</f>
        <v>27.322061249999997</v>
      </c>
      <c r="K10" s="50">
        <f t="shared" ref="K10:K11" ca="1" si="9">T10</f>
        <v>28.675266249999996</v>
      </c>
      <c r="L10" s="50">
        <f t="shared" ref="L10:L11" ca="1" si="10">U10</f>
        <v>30.097812499999996</v>
      </c>
      <c r="M10" s="50">
        <f t="shared" ref="M10:M11" ca="1" si="11">V10</f>
        <v>31.591801249999996</v>
      </c>
      <c r="N10" s="58"/>
      <c r="O10" s="85" t="s">
        <v>149</v>
      </c>
      <c r="P10" s="86" t="str">
        <f t="shared" si="3"/>
        <v>52938C</v>
      </c>
      <c r="Q10" s="85" t="str">
        <f t="shared" si="4"/>
        <v>Water Distribution Operator</v>
      </c>
      <c r="R10" s="90" t="str">
        <f t="shared" si="5"/>
        <v>01</v>
      </c>
      <c r="S10" s="91" cm="1">
        <f t="array" aca="1" ref="S10" ca="1">IF($O10="Y",VLOOKUP($P10,INDIRECT($P$3),S$5,0)*INDIRECT($O$2),VLOOKUP($P10,INDIRECT($P$3),S$5,0))+ShoePremium+LeakLocaterPremium</f>
        <v>27.322061249999997</v>
      </c>
      <c r="T10" s="91" cm="1">
        <f t="array" aca="1" ref="T10" ca="1">IF($O10="Y",VLOOKUP($P10,INDIRECT($P$3),T$5,0)*INDIRECT($O$2),VLOOKUP($P10,INDIRECT($P$3),T$5,0))+ShoePremium+LeakLocaterPremium</f>
        <v>28.675266249999996</v>
      </c>
      <c r="U10" s="91" cm="1">
        <f t="array" aca="1" ref="U10" ca="1">IF($O10="Y",VLOOKUP($P10,INDIRECT($P$3),U$5,0)*INDIRECT($O$2),VLOOKUP($P10,INDIRECT($P$3),U$5,0))+ShoePremium+LeakLocaterPremium</f>
        <v>30.097812499999996</v>
      </c>
      <c r="V10" s="91" cm="1">
        <f t="array" aca="1" ref="V10" ca="1">IF($O10="Y",VLOOKUP($P10,INDIRECT($P$3),V$5,0)*INDIRECT($O$2),VLOOKUP($P10,INDIRECT($P$3),V$5,0))+ShoePremium+LeakLocaterPremium</f>
        <v>31.591801249999996</v>
      </c>
      <c r="X10" s="94" t="str">
        <f t="shared" si="6"/>
        <v>52938C</v>
      </c>
      <c r="Y10" s="94" t="str">
        <f t="shared" si="6"/>
        <v>Water Distribution Operator</v>
      </c>
      <c r="Z10" s="98" t="str">
        <f t="shared" si="6"/>
        <v>01</v>
      </c>
      <c r="AA10" s="99">
        <f t="shared" ca="1" si="7"/>
        <v>27.321999999999999</v>
      </c>
      <c r="AB10" s="99">
        <f t="shared" ca="1" si="7"/>
        <v>28.675000000000001</v>
      </c>
      <c r="AC10" s="99">
        <f t="shared" ca="1" si="7"/>
        <v>30.097999999999999</v>
      </c>
      <c r="AD10" s="99">
        <f t="shared" ca="1" si="7"/>
        <v>31.591999999999999</v>
      </c>
    </row>
    <row r="11" spans="2:30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ca="1" si="8"/>
        <v>29.137541249999995</v>
      </c>
      <c r="K11" s="59">
        <f t="shared" ca="1" si="9"/>
        <v>30.524366249999996</v>
      </c>
      <c r="L11" s="59">
        <f t="shared" ca="1" si="10"/>
        <v>31.978431249999993</v>
      </c>
      <c r="M11" s="59">
        <f t="shared" ca="1" si="11"/>
        <v>33.501837499999993</v>
      </c>
      <c r="O11" s="85" t="s">
        <v>149</v>
      </c>
      <c r="P11" s="86" t="str">
        <f t="shared" si="3"/>
        <v>52939C</v>
      </c>
      <c r="Q11" s="85" t="str">
        <f t="shared" si="4"/>
        <v>Senior Water Distribution Operator</v>
      </c>
      <c r="R11" s="90" t="str">
        <f t="shared" si="5"/>
        <v>02</v>
      </c>
      <c r="S11" s="91" cm="1">
        <f t="array" aca="1" ref="S11" ca="1">IF($O11="Y",VLOOKUP($P11,INDIRECT($P$3),S$5,0)*INDIRECT($O$2),VLOOKUP($P11,INDIRECT($P$3),S$5,0))+ShoePremium+LeakLocaterPremium</f>
        <v>29.137541249999995</v>
      </c>
      <c r="T11" s="91" cm="1">
        <f t="array" aca="1" ref="T11" ca="1">IF($O11="Y",VLOOKUP($P11,INDIRECT($P$3),T$5,0)*INDIRECT($O$2),VLOOKUP($P11,INDIRECT($P$3),T$5,0))+ShoePremium+LeakLocaterPremium</f>
        <v>30.524366249999996</v>
      </c>
      <c r="U11" s="91" cm="1">
        <f t="array" aca="1" ref="U11" ca="1">IF($O11="Y",VLOOKUP($P11,INDIRECT($P$3),U$5,0)*INDIRECT($O$2),VLOOKUP($P11,INDIRECT($P$3),U$5,0))+ShoePremium+LeakLocaterPremium</f>
        <v>31.978431249999993</v>
      </c>
      <c r="V11" s="91" cm="1">
        <f t="array" aca="1" ref="V11" ca="1">IF($O11="Y",VLOOKUP($P11,INDIRECT($P$3),V$5,0)*INDIRECT($O$2),VLOOKUP($P11,INDIRECT($P$3),V$5,0))+ShoePremium+LeakLocaterPremium</f>
        <v>33.501837499999993</v>
      </c>
      <c r="X11" s="94" t="str">
        <f t="shared" si="6"/>
        <v>52939C</v>
      </c>
      <c r="Y11" s="94" t="str">
        <f t="shared" si="6"/>
        <v>Senior Water Distribution Operator</v>
      </c>
      <c r="Z11" s="98" t="str">
        <f t="shared" si="6"/>
        <v>02</v>
      </c>
      <c r="AA11" s="99">
        <f t="shared" ca="1" si="7"/>
        <v>29.138000000000002</v>
      </c>
      <c r="AB11" s="99">
        <f t="shared" ca="1" si="7"/>
        <v>30.524000000000001</v>
      </c>
      <c r="AC11" s="99">
        <f t="shared" ca="1" si="7"/>
        <v>31.978000000000002</v>
      </c>
      <c r="AD11" s="99">
        <f t="shared" ca="1" si="7"/>
        <v>33.502000000000002</v>
      </c>
    </row>
    <row r="12" spans="2:30" x14ac:dyDescent="0.25">
      <c r="B12" s="123" t="s">
        <v>161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</row>
    <row r="13" spans="2:30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</row>
    <row r="17" spans="1:30" x14ac:dyDescent="0.25">
      <c r="B17" s="20">
        <f ca="1">S17</f>
        <v>0.34355437499999997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0.34355437499999997</v>
      </c>
      <c r="X17" s="94" t="str">
        <f>P17</f>
        <v>Year 10</v>
      </c>
      <c r="AA17" s="99">
        <f t="shared" ref="AA17:AA20" ca="1" si="12">ROUND(S17,3)</f>
        <v>0.34399999999999997</v>
      </c>
    </row>
    <row r="18" spans="1:30" x14ac:dyDescent="0.25">
      <c r="B18" s="20">
        <f t="shared" ref="B18:B20" ca="1" si="13">S18</f>
        <v>0.48118624999999993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0.48118624999999993</v>
      </c>
      <c r="X18" s="94" t="str">
        <f t="shared" ref="X18:X20" si="14">P18</f>
        <v>Year 15</v>
      </c>
      <c r="AA18" s="99">
        <f t="shared" ca="1" si="12"/>
        <v>0.48099999999999998</v>
      </c>
    </row>
    <row r="19" spans="1:30" x14ac:dyDescent="0.25">
      <c r="B19" s="20">
        <f t="shared" ca="1" si="13"/>
        <v>0.58309687499999996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0.58309687499999996</v>
      </c>
      <c r="X19" s="94" t="str">
        <f t="shared" si="14"/>
        <v>Year 20</v>
      </c>
      <c r="AA19" s="99">
        <f t="shared" ca="1" si="12"/>
        <v>0.58299999999999996</v>
      </c>
    </row>
    <row r="20" spans="1:30" x14ac:dyDescent="0.25">
      <c r="B20" s="20">
        <f t="shared" ca="1" si="13"/>
        <v>0.68395687499999991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0.68395687499999991</v>
      </c>
      <c r="X20" s="94" t="str">
        <f t="shared" si="14"/>
        <v>Year 25</v>
      </c>
      <c r="AA20" s="99">
        <f t="shared" ca="1" si="12"/>
        <v>0.68400000000000005</v>
      </c>
    </row>
    <row r="21" spans="1:30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2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5">P24</f>
        <v>Safety Shoes</v>
      </c>
      <c r="AA24" s="99">
        <f t="shared" ref="AA24" si="16">ROUND(S24,3)</f>
        <v>0.1</v>
      </c>
    </row>
    <row r="25" spans="1:30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2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25">
      <c r="B27" s="4" t="s">
        <v>168</v>
      </c>
    </row>
    <row r="28" spans="1:30" x14ac:dyDescent="0.25">
      <c r="A28" t="s">
        <v>124</v>
      </c>
      <c r="B28" s="20">
        <f t="shared" ref="B28:B30" ca="1" si="17">S28</f>
        <v>0.60515999999999992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0.60515999999999992</v>
      </c>
      <c r="X28" s="94" t="str">
        <f t="shared" ref="X28:Y30" si="18">P28</f>
        <v>CAWWOC</v>
      </c>
      <c r="Y28" s="94" t="str">
        <f t="shared" si="18"/>
        <v>Water Operator Certification-C</v>
      </c>
      <c r="AA28" s="99">
        <f t="shared" ref="AA28:AA30" ca="1" si="19">ROUND(S28,3)</f>
        <v>0.60499999999999998</v>
      </c>
    </row>
    <row r="29" spans="1:30" x14ac:dyDescent="0.25">
      <c r="A29" t="s">
        <v>123</v>
      </c>
      <c r="B29" s="20">
        <f t="shared" ca="1" si="17"/>
        <v>0.91299312499999985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0.91299312499999985</v>
      </c>
      <c r="X29" s="94" t="str">
        <f t="shared" si="18"/>
        <v>CAWWOB</v>
      </c>
      <c r="Y29" s="94" t="str">
        <f t="shared" si="18"/>
        <v>Water Operator Certification-B</v>
      </c>
      <c r="AA29" s="99">
        <f t="shared" ca="1" si="19"/>
        <v>0.91300000000000003</v>
      </c>
    </row>
    <row r="30" spans="1:30" x14ac:dyDescent="0.25">
      <c r="A30" t="s">
        <v>122</v>
      </c>
      <c r="B30" s="20">
        <f t="shared" ca="1" si="17"/>
        <v>1.2208262499999996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1.2208262499999996</v>
      </c>
      <c r="X30" s="94" t="str">
        <f t="shared" si="18"/>
        <v>CAWWOA</v>
      </c>
      <c r="Y30" s="94" t="str">
        <f t="shared" si="18"/>
        <v>Water Operator Certification-A</v>
      </c>
      <c r="AA30" s="99">
        <f t="shared" ca="1" si="19"/>
        <v>1.2210000000000001</v>
      </c>
    </row>
    <row r="32" spans="1:30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25">
      <c r="B33" s="20">
        <f t="shared" ref="B33:B35" ca="1" si="20">S33</f>
        <v>0.88170499999999985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0.88170499999999985</v>
      </c>
      <c r="X33" s="94" t="str">
        <f t="shared" ref="X33:X34" si="21">P33</f>
        <v>CAWEVE</v>
      </c>
      <c r="Y33" s="94" t="str">
        <f t="shared" ref="Y33:Y34" si="22">Q33</f>
        <v>TL-Afternoon Shift Premium-CAW</v>
      </c>
      <c r="AA33" s="99">
        <f t="shared" ref="AA33:AA34" ca="1" si="23">ROUND(S33,3)</f>
        <v>0.88200000000000001</v>
      </c>
    </row>
    <row r="34" spans="1:27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0.88170499999999985</v>
      </c>
      <c r="X34" s="94" t="str">
        <f t="shared" si="21"/>
        <v>CAWWKE</v>
      </c>
      <c r="Y34" s="94" t="str">
        <f t="shared" si="22"/>
        <v>Weekend shift-CAW</v>
      </c>
      <c r="AA34" s="99">
        <f t="shared" ca="1" si="23"/>
        <v>0.88200000000000001</v>
      </c>
    </row>
    <row r="35" spans="1:27" x14ac:dyDescent="0.25">
      <c r="B35" s="20">
        <f t="shared" ca="1" si="20"/>
        <v>1.3148834531249998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1.3148834531249998</v>
      </c>
      <c r="X35" s="94" t="str">
        <f t="shared" ref="X35" si="24">P35</f>
        <v>CAWNIT</v>
      </c>
      <c r="Y35" s="94" t="str">
        <f t="shared" ref="Y35" si="25">Q35</f>
        <v>TL-Night Shift Premium-CPL</v>
      </c>
      <c r="AA35" s="99">
        <f t="shared" ref="AA35" ca="1" si="26">ROUND(S35,3)</f>
        <v>1.3149999999999999</v>
      </c>
    </row>
    <row r="36" spans="1:27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25">
      <c r="B38" s="22">
        <f>S38</f>
        <v>0.80400000000000005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120">
        <v>0.80400000000000005</v>
      </c>
      <c r="T38" s="105"/>
      <c r="X38" s="94" t="str">
        <f>P38</f>
        <v>CAWGLA</v>
      </c>
      <c r="Y38" s="94" t="str">
        <f t="shared" ref="Y38" si="27">Q38</f>
        <v>Gate Truck Lead Assignment</v>
      </c>
      <c r="AA38" s="99">
        <f t="shared" ref="AA38" si="28">ROUND(S38,3)</f>
        <v>0.80400000000000005</v>
      </c>
    </row>
    <row r="39" spans="1:27" x14ac:dyDescent="0.25">
      <c r="A39" s="104"/>
      <c r="B39" s="22">
        <f t="shared" ref="B39:B42" ca="1" si="29">S39</f>
        <v>0.37822499999999992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0.37822499999999992</v>
      </c>
      <c r="X39" s="94" t="str">
        <f>P39</f>
        <v>CAWGTT</v>
      </c>
      <c r="Y39" s="94" t="str">
        <f t="shared" ref="Y39" si="30">Q39</f>
        <v>TL-Gate Truck Premium-CAW</v>
      </c>
      <c r="AA39" s="99">
        <f t="shared" ref="AA39" ca="1" si="31">ROUND(S39,3)</f>
        <v>0.378</v>
      </c>
    </row>
    <row r="40" spans="1:27" x14ac:dyDescent="0.25">
      <c r="A40" s="104"/>
      <c r="B40" s="22">
        <f t="shared" ca="1" si="29"/>
        <v>0.37822499999999992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0.37822499999999992</v>
      </c>
      <c r="X40" s="94" t="str">
        <f>P40</f>
        <v>CAWTAP</v>
      </c>
      <c r="Y40" s="94" t="str">
        <f t="shared" ref="Y40" si="32">Q40</f>
        <v>TL-Lrg &amp; Sml Taper Premium-CAW</v>
      </c>
      <c r="AA40" s="99">
        <f t="shared" ref="AA40" ca="1" si="33">ROUND(S40,3)</f>
        <v>0.378</v>
      </c>
    </row>
    <row r="41" spans="1:27" x14ac:dyDescent="0.25">
      <c r="A41" s="104" t="s">
        <v>126</v>
      </c>
      <c r="B41" s="22">
        <f t="shared" ca="1" si="29"/>
        <v>1.2428893749999999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1.2428893749999999</v>
      </c>
      <c r="T41" s="106"/>
      <c r="X41" s="94" t="str">
        <f>P41</f>
        <v>CAWRSP</v>
      </c>
      <c r="Y41" s="94" t="str">
        <f t="shared" ref="Y41" si="34">Q41</f>
        <v>TL-Respirator-CAW</v>
      </c>
      <c r="AA41" s="99">
        <f t="shared" ref="AA41" ca="1" si="35">ROUND(S41,3)</f>
        <v>1.2430000000000001</v>
      </c>
    </row>
    <row r="42" spans="1:27" x14ac:dyDescent="0.25">
      <c r="A42" s="104"/>
      <c r="B42" s="22">
        <f t="shared" si="29"/>
        <v>0.378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120">
        <v>0.378</v>
      </c>
      <c r="X42" s="94" t="str">
        <f>P42</f>
        <v>CAWCMT</v>
      </c>
      <c r="Y42" s="94" t="str">
        <f t="shared" ref="Y42" si="36">Q42</f>
        <v>Commercial Meter Testing (on-site)</v>
      </c>
      <c r="AA42" s="99">
        <f t="shared" ref="AA42" si="37">ROUND(S42,3)</f>
        <v>0.378</v>
      </c>
    </row>
    <row r="43" spans="1:27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25">
      <c r="A45" s="104"/>
      <c r="B45" s="111"/>
    </row>
    <row r="46" spans="1:27" x14ac:dyDescent="0.25">
      <c r="A46" s="104"/>
      <c r="B46" s="104"/>
    </row>
    <row r="47" spans="1:27" x14ac:dyDescent="0.25">
      <c r="A47" s="104"/>
      <c r="B47" s="108"/>
    </row>
    <row r="48" spans="1:27" x14ac:dyDescent="0.25">
      <c r="A48" s="104"/>
      <c r="B48" s="111"/>
    </row>
    <row r="49" spans="1:14" x14ac:dyDescent="0.25">
      <c r="A49" s="104"/>
      <c r="B49" s="111"/>
    </row>
    <row r="50" spans="1:14" x14ac:dyDescent="0.25">
      <c r="A50" s="104"/>
      <c r="B50" s="104" t="s">
        <v>192</v>
      </c>
      <c r="N50" s="4" t="s">
        <v>193</v>
      </c>
    </row>
    <row r="51" spans="1:14" x14ac:dyDescent="0.25">
      <c r="A51" s="104"/>
      <c r="B51" s="108"/>
    </row>
    <row r="52" spans="1:14" x14ac:dyDescent="0.25">
      <c r="A52" s="104"/>
      <c r="B52" s="111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04"/>
    </row>
    <row r="57" spans="1:14" x14ac:dyDescent="0.25">
      <c r="A57" s="104"/>
      <c r="B57" s="108"/>
    </row>
    <row r="58" spans="1:14" x14ac:dyDescent="0.25">
      <c r="A58" s="104"/>
      <c r="B58" s="111"/>
    </row>
    <row r="59" spans="1:14" x14ac:dyDescent="0.25">
      <c r="A59" s="104"/>
      <c r="B59" s="111"/>
    </row>
    <row r="60" spans="1:14" x14ac:dyDescent="0.2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9DEBB-F8B4-4162-BD88-7E95C122BA1B}">
  <dimension ref="A1:AL61"/>
  <sheetViews>
    <sheetView showGridLines="0" topLeftCell="B1" workbookViewId="0">
      <selection activeCell="B1" sqref="B1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9.5703125" style="4" bestFit="1" customWidth="1"/>
    <col min="15" max="15" width="15.42578125" style="85" hidden="1" customWidth="1"/>
    <col min="16" max="16" width="11" style="86" hidden="1" customWidth="1"/>
    <col min="17" max="17" width="34.7109375" style="85" hidden="1" customWidth="1"/>
    <col min="18" max="18" width="3.7109375" style="86" hidden="1" customWidth="1"/>
    <col min="19" max="22" width="7.140625" style="86" hidden="1" customWidth="1"/>
    <col min="23" max="23" width="9.140625" style="4" hidden="1" customWidth="1"/>
    <col min="24" max="24" width="10.5703125" style="94" hidden="1" customWidth="1"/>
    <col min="25" max="25" width="34.7109375" style="94" hidden="1" customWidth="1"/>
    <col min="26" max="26" width="3.7109375" style="94" hidden="1" customWidth="1"/>
    <col min="27" max="27" width="7.140625" style="99" hidden="1" customWidth="1"/>
    <col min="28" max="30" width="7.140625" style="94" hidden="1" customWidth="1"/>
    <col min="31" max="38" width="0" style="4" hidden="1" customWidth="1"/>
    <col min="39" max="16384" width="9.140625" style="4"/>
  </cols>
  <sheetData>
    <row r="1" spans="2:38" x14ac:dyDescent="0.25">
      <c r="B1" s="4" t="s">
        <v>191</v>
      </c>
    </row>
    <row r="2" spans="2:38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180</v>
      </c>
      <c r="P2" s="101">
        <v>1.0449999999999999</v>
      </c>
      <c r="Q2" s="107"/>
      <c r="R2" s="91"/>
    </row>
    <row r="3" spans="2:38" x14ac:dyDescent="0.25">
      <c r="B3" s="114" t="str">
        <f>"Effective January 1, 2024 ("&amp;TEXT(BaseIncrPerc2024-1,"#.00%")&amp;" increase)"</f>
        <v>Effective January 1, 2024 (4.50%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181</v>
      </c>
    </row>
    <row r="4" spans="2:38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8" x14ac:dyDescent="0.2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</row>
    <row r="6" spans="2:38" x14ac:dyDescent="0.2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38" s="10" customFormat="1" ht="45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8" x14ac:dyDescent="0.2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33.821746337499988</v>
      </c>
      <c r="K8" s="50">
        <f t="shared" ref="K8:M8" ca="1" si="0">T8</f>
        <v>35.390649903124988</v>
      </c>
      <c r="L8" s="50">
        <f t="shared" ca="1" si="0"/>
        <v>37.040798299999985</v>
      </c>
      <c r="M8" s="50">
        <f t="shared" ca="1" si="0"/>
        <v>38.771093624999985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</f>
        <v>33.821746337499988</v>
      </c>
      <c r="T8" s="91" cm="1">
        <f t="array" aca="1" ref="T8" ca="1">IF($O8="Y",VLOOKUP($P8,INDIRECT($P$3),T$5,0)*INDIRECT($O$2),VLOOKUP($P8,INDIRECT($P$3),T$5,0))</f>
        <v>35.390649903124988</v>
      </c>
      <c r="U8" s="91" cm="1">
        <f t="array" aca="1" ref="U8" ca="1">IF($O8="Y",VLOOKUP($P8,INDIRECT($P$3),U$5,0)*INDIRECT($O$2),VLOOKUP($P8,INDIRECT($P$3),U$5,0))</f>
        <v>37.040798299999985</v>
      </c>
      <c r="V8" s="91" cm="1">
        <f t="array" aca="1" ref="V8" ca="1">IF($O8="Y",VLOOKUP($P8,INDIRECT($P$3),V$5,0)*INDIRECT($O$2),VLOOKUP($P8,INDIRECT($P$3),V$5,0))</f>
        <v>38.771093624999985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33.822000000000003</v>
      </c>
      <c r="AB8" s="99">
        <f t="shared" ref="AB8:AD8" ca="1" si="1">ROUND(T8,3)</f>
        <v>35.390999999999998</v>
      </c>
      <c r="AC8" s="99">
        <f t="shared" ca="1" si="1"/>
        <v>37.040999999999997</v>
      </c>
      <c r="AD8" s="99">
        <f t="shared" ca="1" si="1"/>
        <v>38.771000000000001</v>
      </c>
      <c r="AE8" s="4">
        <f>VLOOKUP($X8,[1]Sheet3!$A$319:$J$323,7,0)</f>
        <v>35.390999999999998</v>
      </c>
      <c r="AF8" s="4">
        <f>VLOOKUP($X8,[1]Sheet3!$A$319:$J$323,8,0)</f>
        <v>37.040999999999997</v>
      </c>
      <c r="AG8" s="4">
        <f>VLOOKUP($X8,[1]Sheet3!$A$319:$J$323,9,0)</f>
        <v>38.771000000000001</v>
      </c>
      <c r="AH8" s="4">
        <f>VLOOKUP($X8,[1]Sheet3!$A$319:$J$323,10,0)</f>
        <v>0</v>
      </c>
      <c r="AI8" s="4" t="b">
        <f ca="1">AE8=AA8</f>
        <v>0</v>
      </c>
      <c r="AJ8" s="4" t="b">
        <f t="shared" ref="AJ8:AL8" ca="1" si="2">AF8=AB8</f>
        <v>0</v>
      </c>
      <c r="AK8" s="4" t="b">
        <f t="shared" ca="1" si="2"/>
        <v>0</v>
      </c>
      <c r="AL8" s="4" t="b">
        <f t="shared" ca="1" si="2"/>
        <v>0</v>
      </c>
    </row>
    <row r="9" spans="2:38" x14ac:dyDescent="0.2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:M12" ca="1" si="3">S9</f>
        <v>21.097889690624996</v>
      </c>
      <c r="K9" s="50" t="str">
        <f ca="1">TEXT(T9,"$#.000")&amp;"*"</f>
        <v>$23.350*</v>
      </c>
      <c r="L9" s="40"/>
      <c r="M9" s="40"/>
      <c r="O9" s="85" t="s">
        <v>149</v>
      </c>
      <c r="P9" s="86" t="str">
        <f t="shared" ref="P9:P12" si="4">D9</f>
        <v>52917C</v>
      </c>
      <c r="Q9" s="85" t="str">
        <f t="shared" ref="Q9:Q12" si="5">F9</f>
        <v>Water Distribution Operator Trainee</v>
      </c>
      <c r="R9" s="90" t="str">
        <f t="shared" ref="R9:R12" si="6">E9</f>
        <v>04</v>
      </c>
      <c r="S9" s="91" cm="1">
        <f t="array" aca="1" ref="S9" ca="1">IF($O9="Y",VLOOKUP($P9,INDIRECT($P$3),S$5,0)*INDIRECT($O$2),VLOOKUP($P9,INDIRECT($P$3),S$5,0))</f>
        <v>21.097889690624996</v>
      </c>
      <c r="T9" s="91" cm="1">
        <f t="array" aca="1" ref="T9" ca="1">IF($O9="Y",VLOOKUP($P9,INDIRECT($P$3),T$5,0)*INDIRECT($O$2),VLOOKUP($P9,INDIRECT($P$3),T$5,0))</f>
        <v>23.349864690624997</v>
      </c>
      <c r="U9" s="91"/>
      <c r="V9" s="91"/>
      <c r="X9" s="94" t="str">
        <f t="shared" ref="X9:Z12" si="7">P9</f>
        <v>52917C</v>
      </c>
      <c r="Y9" s="94" t="str">
        <f t="shared" si="7"/>
        <v>Water Distribution Operator Trainee</v>
      </c>
      <c r="Z9" s="98" t="str">
        <f t="shared" si="7"/>
        <v>04</v>
      </c>
      <c r="AA9" s="99">
        <f t="shared" ref="AA9:AD12" ca="1" si="8">ROUND(S9,3)</f>
        <v>21.097999999999999</v>
      </c>
      <c r="AB9" s="99">
        <f t="shared" ca="1" si="8"/>
        <v>23.35</v>
      </c>
      <c r="AC9" s="99"/>
      <c r="AD9" s="99"/>
      <c r="AE9" s="4">
        <f>VLOOKUP($X9,[1]Sheet3!$A$319:$J$323,7,0)</f>
        <v>23.35</v>
      </c>
      <c r="AF9" s="4">
        <f>VLOOKUP($X9,[1]Sheet3!$A$319:$J$323,8,0)</f>
        <v>0</v>
      </c>
      <c r="AG9" s="4">
        <f>VLOOKUP($X9,[1]Sheet3!$A$319:$J$323,9,0)</f>
        <v>0</v>
      </c>
      <c r="AH9" s="4">
        <f>VLOOKUP($X9,[1]Sheet3!$A$319:$J$323,10,0)</f>
        <v>0</v>
      </c>
      <c r="AI9" s="4" t="b">
        <f t="shared" ref="AI9:AI12" ca="1" si="9">AE9=AA9</f>
        <v>0</v>
      </c>
      <c r="AJ9" s="4" t="b">
        <f t="shared" ref="AJ9:AJ12" ca="1" si="10">AF9=AB9</f>
        <v>0</v>
      </c>
      <c r="AK9" s="4" t="b">
        <f t="shared" ref="AK9:AK12" si="11">AG9=AC9</f>
        <v>1</v>
      </c>
      <c r="AL9" s="4" t="b">
        <f t="shared" ref="AL9:AL12" si="12">AH9=AD9</f>
        <v>1</v>
      </c>
    </row>
    <row r="10" spans="2:38" x14ac:dyDescent="0.2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ca="1" si="3"/>
        <v>28.551554006249994</v>
      </c>
      <c r="K10" s="50">
        <f t="shared" ca="1" si="3"/>
        <v>29.965653231249995</v>
      </c>
      <c r="L10" s="50">
        <f t="shared" ca="1" si="3"/>
        <v>31.452214062499994</v>
      </c>
      <c r="M10" s="50">
        <f t="shared" ca="1" si="3"/>
        <v>33.013432306249996</v>
      </c>
      <c r="N10" s="58"/>
      <c r="O10" s="85" t="s">
        <v>149</v>
      </c>
      <c r="P10" s="86" t="str">
        <f t="shared" si="4"/>
        <v>52938C</v>
      </c>
      <c r="Q10" s="85" t="str">
        <f t="shared" si="5"/>
        <v>Water Distribution Operator</v>
      </c>
      <c r="R10" s="90" t="str">
        <f t="shared" si="6"/>
        <v>01</v>
      </c>
      <c r="S10" s="91" cm="1">
        <f t="array" aca="1" ref="S10" ca="1">IF($O10="Y",VLOOKUP($P10,INDIRECT($P$3),S$5,0)*INDIRECT($O$2),VLOOKUP($P10,INDIRECT($P$3),S$5,0))</f>
        <v>28.551554006249994</v>
      </c>
      <c r="T10" s="91" cm="1">
        <f t="array" aca="1" ref="T10" ca="1">IF($O10="Y",VLOOKUP($P10,INDIRECT($P$3),T$5,0)*INDIRECT($O$2),VLOOKUP($P10,INDIRECT($P$3),T$5,0))</f>
        <v>29.965653231249995</v>
      </c>
      <c r="U10" s="91" cm="1">
        <f t="array" aca="1" ref="U10" ca="1">IF($O10="Y",VLOOKUP($P10,INDIRECT($P$3),U$5,0)*INDIRECT($O$2),VLOOKUP($P10,INDIRECT($P$3),U$5,0))</f>
        <v>31.452214062499994</v>
      </c>
      <c r="V10" s="91" cm="1">
        <f t="array" aca="1" ref="V10" ca="1">IF($O10="Y",VLOOKUP($P10,INDIRECT($P$3),V$5,0)*INDIRECT($O$2),VLOOKUP($P10,INDIRECT($P$3),V$5,0))</f>
        <v>33.013432306249996</v>
      </c>
      <c r="X10" s="94" t="str">
        <f t="shared" si="7"/>
        <v>52938C</v>
      </c>
      <c r="Y10" s="94" t="str">
        <f t="shared" si="7"/>
        <v>Water Distribution Operator</v>
      </c>
      <c r="Z10" s="98" t="str">
        <f t="shared" si="7"/>
        <v>01</v>
      </c>
      <c r="AA10" s="99">
        <f t="shared" ca="1" si="8"/>
        <v>28.552</v>
      </c>
      <c r="AB10" s="99">
        <f t="shared" ca="1" si="8"/>
        <v>29.966000000000001</v>
      </c>
      <c r="AC10" s="99">
        <f t="shared" ca="1" si="8"/>
        <v>31.452000000000002</v>
      </c>
      <c r="AD10" s="99">
        <f t="shared" ca="1" si="8"/>
        <v>33.012999999999998</v>
      </c>
      <c r="AE10" s="4">
        <f>VLOOKUP($X10,[1]Sheet3!$A$319:$J$323,7,0)</f>
        <v>29.966000000000001</v>
      </c>
      <c r="AF10" s="4">
        <f>VLOOKUP($X10,[1]Sheet3!$A$319:$J$323,8,0)</f>
        <v>31.452000000000002</v>
      </c>
      <c r="AG10" s="4">
        <f>VLOOKUP($X10,[1]Sheet3!$A$319:$J$323,9,0)</f>
        <v>33.012999999999998</v>
      </c>
      <c r="AH10" s="4">
        <f>VLOOKUP($X10,[1]Sheet3!$A$319:$J$323,10,0)</f>
        <v>0</v>
      </c>
      <c r="AI10" s="4" t="b">
        <f t="shared" ca="1" si="9"/>
        <v>0</v>
      </c>
      <c r="AJ10" s="4" t="b">
        <f t="shared" ca="1" si="10"/>
        <v>0</v>
      </c>
      <c r="AK10" s="4" t="b">
        <f t="shared" ca="1" si="11"/>
        <v>0</v>
      </c>
      <c r="AL10" s="4" t="b">
        <f t="shared" ca="1" si="12"/>
        <v>0</v>
      </c>
    </row>
    <row r="11" spans="2:38" x14ac:dyDescent="0.25">
      <c r="B11" s="11" t="s">
        <v>8</v>
      </c>
      <c r="C11" s="11">
        <v>2</v>
      </c>
      <c r="D11" s="80" t="s">
        <v>188</v>
      </c>
      <c r="E11" s="61" t="s">
        <v>189</v>
      </c>
      <c r="F11" s="6" t="s">
        <v>190</v>
      </c>
      <c r="G11" s="3">
        <v>345</v>
      </c>
      <c r="H11" s="3">
        <v>7</v>
      </c>
      <c r="I11" s="3" t="s">
        <v>12</v>
      </c>
      <c r="J11" s="50">
        <f t="shared" ref="J11" si="13">S11</f>
        <v>35.002000000000002</v>
      </c>
      <c r="K11" s="50">
        <f t="shared" ref="K11" si="14">T11</f>
        <v>36.844999999999999</v>
      </c>
      <c r="L11" s="50">
        <f t="shared" ref="L11" si="15">U11</f>
        <v>38.783999999999999</v>
      </c>
      <c r="M11" s="50">
        <f t="shared" ref="M11" si="16">V11</f>
        <v>40.825000000000003</v>
      </c>
      <c r="N11" s="58"/>
      <c r="O11" s="85" t="s">
        <v>149</v>
      </c>
      <c r="P11" s="86" t="s">
        <v>188</v>
      </c>
      <c r="Q11" s="85" t="str">
        <f t="shared" ref="Q11" si="17">F11</f>
        <v>Water Loss &amp; Service Connection Inspector</v>
      </c>
      <c r="R11" s="90" t="str">
        <f t="shared" ref="R11" si="18">E11</f>
        <v>10</v>
      </c>
      <c r="S11" s="91">
        <v>35.002000000000002</v>
      </c>
      <c r="T11" s="91">
        <v>36.844999999999999</v>
      </c>
      <c r="U11" s="91">
        <v>38.783999999999999</v>
      </c>
      <c r="V11" s="91">
        <v>40.825000000000003</v>
      </c>
      <c r="X11" s="94" t="s">
        <v>188</v>
      </c>
      <c r="Y11" s="94" t="str">
        <f t="shared" ref="Y11" si="19">Q11</f>
        <v>Water Loss &amp; Service Connection Inspector</v>
      </c>
      <c r="Z11" s="98" t="str">
        <f t="shared" ref="Z11" si="20">R11</f>
        <v>10</v>
      </c>
      <c r="AA11" s="99">
        <f t="shared" ref="AA11" si="21">ROUND(S11,3)</f>
        <v>35.002000000000002</v>
      </c>
      <c r="AB11" s="122">
        <f t="shared" ref="AB11" si="22">ROUND(T11,3)</f>
        <v>36.844999999999999</v>
      </c>
      <c r="AC11" s="122">
        <f t="shared" ref="AC11" si="23">ROUND(U11,3)</f>
        <v>38.783999999999999</v>
      </c>
      <c r="AD11" s="99">
        <f t="shared" ref="AD11" si="24">ROUND(V11,3)</f>
        <v>40.825000000000003</v>
      </c>
      <c r="AE11" s="4">
        <f>VLOOKUP($X11,[1]Sheet3!$A$319:$J$323,7,0)</f>
        <v>0</v>
      </c>
      <c r="AF11" s="4">
        <f>VLOOKUP($X11,[1]Sheet3!$A$319:$J$323,8,0)</f>
        <v>0</v>
      </c>
      <c r="AG11" s="4">
        <f>VLOOKUP($X11,[1]Sheet3!$A$319:$J$323,9,0)</f>
        <v>40.825000000000003</v>
      </c>
      <c r="AH11" s="4">
        <f>VLOOKUP($X11,[1]Sheet3!$A$319:$J$323,10,0)</f>
        <v>0</v>
      </c>
      <c r="AI11" s="4" t="b">
        <f t="shared" si="9"/>
        <v>0</v>
      </c>
      <c r="AJ11" s="4" t="b">
        <f t="shared" si="10"/>
        <v>0</v>
      </c>
      <c r="AK11" s="4" t="b">
        <f t="shared" si="11"/>
        <v>0</v>
      </c>
      <c r="AL11" s="4" t="b">
        <f t="shared" si="12"/>
        <v>0</v>
      </c>
    </row>
    <row r="12" spans="2:38" x14ac:dyDescent="0.25">
      <c r="B12" s="55" t="s">
        <v>8</v>
      </c>
      <c r="C12" s="55">
        <v>2</v>
      </c>
      <c r="D12" s="81" t="s">
        <v>91</v>
      </c>
      <c r="E12" s="63" t="s">
        <v>92</v>
      </c>
      <c r="F12" s="56" t="s">
        <v>57</v>
      </c>
      <c r="G12" s="57">
        <v>310</v>
      </c>
      <c r="H12" s="57">
        <v>6</v>
      </c>
      <c r="I12" s="57" t="s">
        <v>12</v>
      </c>
      <c r="J12" s="59">
        <f t="shared" ca="1" si="3"/>
        <v>30.448730606249992</v>
      </c>
      <c r="K12" s="59">
        <f t="shared" ca="1" si="3"/>
        <v>31.897962731249994</v>
      </c>
      <c r="L12" s="59">
        <f t="shared" ca="1" si="3"/>
        <v>33.417460656249993</v>
      </c>
      <c r="M12" s="59">
        <f t="shared" ca="1" si="3"/>
        <v>35.009420187499991</v>
      </c>
      <c r="O12" s="85" t="s">
        <v>149</v>
      </c>
      <c r="P12" s="86" t="str">
        <f t="shared" si="4"/>
        <v>52939C</v>
      </c>
      <c r="Q12" s="85" t="str">
        <f t="shared" si="5"/>
        <v>Senior Water Distribution Operator</v>
      </c>
      <c r="R12" s="90" t="str">
        <f t="shared" si="6"/>
        <v>02</v>
      </c>
      <c r="S12" s="91" cm="1">
        <f t="array" aca="1" ref="S12" ca="1">IF($O12="Y",VLOOKUP($P12,INDIRECT($P$3),S$5,0)*INDIRECT($O$2),VLOOKUP($P12,INDIRECT($P$3),S$5,0))</f>
        <v>30.448730606249992</v>
      </c>
      <c r="T12" s="91" cm="1">
        <f t="array" aca="1" ref="T12" ca="1">IF($O12="Y",VLOOKUP($P12,INDIRECT($P$3),T$5,0)*INDIRECT($O$2),VLOOKUP($P12,INDIRECT($P$3),T$5,0))</f>
        <v>31.897962731249994</v>
      </c>
      <c r="U12" s="91" cm="1">
        <f t="array" aca="1" ref="U12" ca="1">IF($O12="Y",VLOOKUP($P12,INDIRECT($P$3),U$5,0)*INDIRECT($O$2),VLOOKUP($P12,INDIRECT($P$3),U$5,0))</f>
        <v>33.417460656249993</v>
      </c>
      <c r="V12" s="91" cm="1">
        <f t="array" aca="1" ref="V12" ca="1">IF($O12="Y",VLOOKUP($P12,INDIRECT($P$3),V$5,0)*INDIRECT($O$2),VLOOKUP($P12,INDIRECT($P$3),V$5,0))</f>
        <v>35.009420187499991</v>
      </c>
      <c r="X12" s="94" t="str">
        <f t="shared" si="7"/>
        <v>52939C</v>
      </c>
      <c r="Y12" s="94" t="str">
        <f t="shared" si="7"/>
        <v>Senior Water Distribution Operator</v>
      </c>
      <c r="Z12" s="98" t="str">
        <f t="shared" si="7"/>
        <v>02</v>
      </c>
      <c r="AA12" s="99">
        <f t="shared" ca="1" si="8"/>
        <v>30.449000000000002</v>
      </c>
      <c r="AB12" s="99">
        <f t="shared" ca="1" si="8"/>
        <v>31.898</v>
      </c>
      <c r="AC12" s="99">
        <f t="shared" ca="1" si="8"/>
        <v>33.417000000000002</v>
      </c>
      <c r="AD12" s="99">
        <f t="shared" ca="1" si="8"/>
        <v>35.009</v>
      </c>
      <c r="AE12" s="4">
        <f>VLOOKUP($X12,[1]Sheet3!$A$319:$J$323,7,0)</f>
        <v>31.898</v>
      </c>
      <c r="AF12" s="4">
        <f>VLOOKUP($X12,[1]Sheet3!$A$319:$J$323,8,0)</f>
        <v>33.417000000000002</v>
      </c>
      <c r="AG12" s="4">
        <f>VLOOKUP($X12,[1]Sheet3!$A$319:$J$323,9,0)</f>
        <v>35.009</v>
      </c>
      <c r="AH12" s="4">
        <f>VLOOKUP($X12,[1]Sheet3!$A$319:$J$323,10,0)</f>
        <v>0</v>
      </c>
      <c r="AI12" s="4" t="b">
        <f t="shared" ca="1" si="9"/>
        <v>0</v>
      </c>
      <c r="AJ12" s="4" t="b">
        <f t="shared" ca="1" si="10"/>
        <v>0</v>
      </c>
      <c r="AK12" s="4" t="b">
        <f t="shared" ca="1" si="11"/>
        <v>0</v>
      </c>
      <c r="AL12" s="4" t="b">
        <f t="shared" ca="1" si="12"/>
        <v>0</v>
      </c>
    </row>
    <row r="13" spans="2:38" x14ac:dyDescent="0.25">
      <c r="B13" s="123" t="s">
        <v>161</v>
      </c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</row>
    <row r="14" spans="2:38" x14ac:dyDescent="0.25">
      <c r="B14" s="11"/>
      <c r="C14" s="11"/>
      <c r="D14" s="12"/>
      <c r="E14" s="66"/>
      <c r="F14" s="6"/>
      <c r="G14" s="3"/>
      <c r="H14" s="3"/>
      <c r="I14" s="3"/>
      <c r="J14" s="40"/>
      <c r="K14" s="40"/>
      <c r="L14" s="40"/>
      <c r="M14" s="40"/>
    </row>
    <row r="15" spans="2:38" x14ac:dyDescent="0.25">
      <c r="B15" s="17" t="s">
        <v>26</v>
      </c>
      <c r="C15" s="2"/>
      <c r="D15" s="2"/>
      <c r="E15" s="64"/>
      <c r="F15" s="17"/>
      <c r="G15" s="2"/>
      <c r="H15" s="2"/>
      <c r="I15" s="2"/>
      <c r="J15" s="2"/>
      <c r="K15" s="2"/>
      <c r="L15" s="2"/>
      <c r="M15" s="2"/>
    </row>
    <row r="16" spans="2:38" x14ac:dyDescent="0.25">
      <c r="B16" s="18" t="s">
        <v>27</v>
      </c>
      <c r="C16" s="19"/>
      <c r="D16" s="19"/>
      <c r="E16" s="67"/>
      <c r="F16" s="19"/>
      <c r="G16" s="19"/>
      <c r="H16" s="19"/>
      <c r="I16" s="19"/>
      <c r="J16" s="80"/>
      <c r="K16" s="80"/>
      <c r="L16" s="80"/>
      <c r="M16" s="80"/>
    </row>
    <row r="17" spans="1:31" x14ac:dyDescent="0.25">
      <c r="B17" s="18" t="s">
        <v>28</v>
      </c>
      <c r="C17" s="19"/>
      <c r="D17" s="19"/>
      <c r="E17" s="67"/>
      <c r="F17" s="19"/>
      <c r="G17" s="19"/>
      <c r="H17" s="19"/>
      <c r="I17" s="19"/>
      <c r="J17" s="80"/>
      <c r="K17" s="80"/>
      <c r="L17" s="82"/>
      <c r="M17" s="80"/>
    </row>
    <row r="18" spans="1:31" x14ac:dyDescent="0.25">
      <c r="B18" s="20">
        <f ca="1">S18</f>
        <v>0.35901432187499993</v>
      </c>
      <c r="C18" s="18" t="s">
        <v>29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127</v>
      </c>
      <c r="S18" s="91" cm="1">
        <f t="array" aca="1" ref="S18" ca="1">IF($O18="Y",VLOOKUP($P18,INDIRECT($P$3),S$5,0)*INDIRECT($O$2),VLOOKUP($P18,INDIRECT($P$3),S$5,0))</f>
        <v>0.35901432187499993</v>
      </c>
      <c r="X18" s="94" t="str">
        <f>P18</f>
        <v>Year 10</v>
      </c>
      <c r="AA18" s="99">
        <f t="shared" ref="AA18:AA21" ca="1" si="25">ROUND(S18,3)</f>
        <v>0.35899999999999999</v>
      </c>
    </row>
    <row r="19" spans="1:31" x14ac:dyDescent="0.25">
      <c r="B19" s="20">
        <f t="shared" ref="B19:B21" ca="1" si="26">S19</f>
        <v>0.50283963124999986</v>
      </c>
      <c r="C19" s="18" t="s">
        <v>30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128</v>
      </c>
      <c r="S19" s="91" cm="1">
        <f t="array" aca="1" ref="S19" ca="1">IF($O19="Y",VLOOKUP($P19,INDIRECT($P$3),S$5,0)*INDIRECT($O$2),VLOOKUP($P19,INDIRECT($P$3),S$5,0))</f>
        <v>0.50283963124999986</v>
      </c>
      <c r="X19" s="94" t="str">
        <f t="shared" ref="X19:X21" si="27">P19</f>
        <v>Year 15</v>
      </c>
      <c r="AA19" s="99">
        <f t="shared" ca="1" si="25"/>
        <v>0.503</v>
      </c>
    </row>
    <row r="20" spans="1:31" x14ac:dyDescent="0.25">
      <c r="B20" s="20">
        <f t="shared" ca="1" si="26"/>
        <v>0.60933623437499995</v>
      </c>
      <c r="C20" s="18" t="s">
        <v>31</v>
      </c>
      <c r="E20" s="68"/>
      <c r="F20" s="19"/>
      <c r="G20" s="19"/>
      <c r="H20" s="19"/>
      <c r="I20" s="21"/>
      <c r="J20" s="21"/>
      <c r="K20" s="16"/>
      <c r="L20" s="2"/>
      <c r="M20" s="49"/>
      <c r="O20" s="85" t="s">
        <v>149</v>
      </c>
      <c r="P20" s="86" t="s">
        <v>129</v>
      </c>
      <c r="S20" s="91" cm="1">
        <f t="array" aca="1" ref="S20" ca="1">IF($O20="Y",VLOOKUP($P20,INDIRECT($P$3),S$5,0)*INDIRECT($O$2),VLOOKUP($P20,INDIRECT($P$3),S$5,0))</f>
        <v>0.60933623437499995</v>
      </c>
      <c r="X20" s="94" t="str">
        <f t="shared" si="27"/>
        <v>Year 20</v>
      </c>
      <c r="AA20" s="99">
        <f t="shared" ca="1" si="25"/>
        <v>0.60899999999999999</v>
      </c>
    </row>
    <row r="21" spans="1:31" x14ac:dyDescent="0.25">
      <c r="B21" s="20">
        <f t="shared" ca="1" si="26"/>
        <v>0.71473493437499991</v>
      </c>
      <c r="C21" s="18" t="s">
        <v>32</v>
      </c>
      <c r="E21" s="67"/>
      <c r="F21" s="19"/>
      <c r="G21" s="19"/>
      <c r="H21" s="19"/>
      <c r="I21" s="21"/>
      <c r="J21" s="21"/>
      <c r="K21" s="16"/>
      <c r="L21" s="21"/>
      <c r="M21" s="49"/>
      <c r="O21" s="85" t="s">
        <v>149</v>
      </c>
      <c r="P21" s="86" t="s">
        <v>130</v>
      </c>
      <c r="S21" s="91" cm="1">
        <f t="array" aca="1" ref="S21" ca="1">IF($O21="Y",VLOOKUP($P21,INDIRECT($P$3),S$5,0)*INDIRECT($O$2),VLOOKUP($P21,INDIRECT($P$3),S$5,0))</f>
        <v>0.71473493437499991</v>
      </c>
      <c r="X21" s="94" t="str">
        <f t="shared" si="27"/>
        <v>Year 25</v>
      </c>
      <c r="AA21" s="99">
        <f t="shared" ca="1" si="25"/>
        <v>0.71499999999999997</v>
      </c>
    </row>
    <row r="22" spans="1:31" x14ac:dyDescent="0.25">
      <c r="B22" s="17"/>
      <c r="C22" s="2"/>
      <c r="D22" s="2"/>
      <c r="E22" s="64"/>
      <c r="F22" s="17"/>
      <c r="G22" s="2"/>
      <c r="H22" s="2"/>
      <c r="I22" s="2"/>
      <c r="K22" s="2"/>
      <c r="L22" s="2"/>
      <c r="M22" s="2"/>
    </row>
    <row r="23" spans="1:31" x14ac:dyDescent="0.25">
      <c r="B23" s="23" t="s">
        <v>33</v>
      </c>
      <c r="C23" s="21"/>
      <c r="D23" s="21"/>
      <c r="E23" s="69"/>
      <c r="F23" s="21"/>
      <c r="G23" s="21"/>
      <c r="H23" s="21"/>
      <c r="I23" s="21"/>
      <c r="J23" s="21"/>
      <c r="K23" s="21"/>
      <c r="L23" s="21"/>
      <c r="M23" s="21"/>
    </row>
    <row r="24" spans="1:31" x14ac:dyDescent="0.25">
      <c r="B24" s="18" t="s">
        <v>58</v>
      </c>
      <c r="C24" s="19"/>
      <c r="D24" s="19"/>
      <c r="E24" s="67"/>
      <c r="F24" s="19"/>
      <c r="G24" s="19"/>
      <c r="H24" s="19"/>
      <c r="I24" s="19"/>
      <c r="J24" s="21"/>
      <c r="K24" s="21"/>
      <c r="L24" s="21"/>
      <c r="M24" s="21"/>
    </row>
    <row r="25" spans="1:31" x14ac:dyDescent="0.25">
      <c r="B25" s="18" t="str">
        <f>"effective 1/1/2023, the safety shoe rate was increased from $0.070 to "&amp;TEXT(S25,"$0.000")&amp;" per hour"</f>
        <v>effective 1/1/2023, the safety shoe rate was increased from $0.070 to $0.100 per hour</v>
      </c>
      <c r="C25" s="19"/>
      <c r="D25" s="19"/>
      <c r="E25" s="67"/>
      <c r="F25" s="19"/>
      <c r="G25" s="74"/>
      <c r="H25" s="19"/>
      <c r="I25" s="19"/>
      <c r="J25" s="21"/>
      <c r="K25" s="21"/>
      <c r="L25" s="21"/>
      <c r="M25" s="21"/>
      <c r="O25" s="85" t="s">
        <v>8</v>
      </c>
      <c r="P25" s="86" t="s">
        <v>33</v>
      </c>
      <c r="S25" s="91">
        <v>0.1</v>
      </c>
      <c r="X25" s="94" t="str">
        <f t="shared" ref="X25" si="28">P25</f>
        <v>Safety Shoes</v>
      </c>
      <c r="AA25" s="99">
        <f t="shared" ref="AA25" si="29">ROUND(S25,3)</f>
        <v>0.1</v>
      </c>
    </row>
    <row r="26" spans="1:31" x14ac:dyDescent="0.25">
      <c r="B26" s="18"/>
      <c r="C26" s="19"/>
      <c r="D26" s="19"/>
      <c r="E26" s="67"/>
      <c r="F26" s="19"/>
      <c r="G26" s="19"/>
      <c r="H26" s="19"/>
      <c r="I26" s="19"/>
      <c r="J26" s="21"/>
      <c r="K26" s="21"/>
      <c r="L26" s="21"/>
      <c r="M26" s="21"/>
    </row>
    <row r="27" spans="1:31" s="26" customFormat="1" x14ac:dyDescent="0.25">
      <c r="B27" s="26" t="s">
        <v>160</v>
      </c>
      <c r="E27" s="70"/>
      <c r="O27" s="92"/>
      <c r="P27" s="93"/>
      <c r="Q27" s="92"/>
      <c r="R27" s="93"/>
      <c r="S27" s="93"/>
      <c r="T27" s="93"/>
      <c r="U27" s="93"/>
      <c r="V27" s="93"/>
      <c r="X27" s="100"/>
      <c r="Y27" s="100"/>
      <c r="Z27" s="100"/>
      <c r="AA27" s="113"/>
      <c r="AB27" s="100"/>
      <c r="AC27" s="100"/>
      <c r="AD27" s="100"/>
    </row>
    <row r="28" spans="1:31" x14ac:dyDescent="0.25">
      <c r="B28" s="4" t="s">
        <v>168</v>
      </c>
    </row>
    <row r="29" spans="1:31" x14ac:dyDescent="0.25">
      <c r="A29" t="s">
        <v>124</v>
      </c>
      <c r="B29" s="20">
        <f t="shared" ref="B29:B31" ca="1" si="30">S29</f>
        <v>0.63239219999999985</v>
      </c>
      <c r="C29" s="4" t="s">
        <v>169</v>
      </c>
      <c r="M29" s="21"/>
      <c r="O29" s="85" t="s">
        <v>149</v>
      </c>
      <c r="P29" s="86" t="s">
        <v>124</v>
      </c>
      <c r="Q29" s="85" t="s">
        <v>136</v>
      </c>
      <c r="S29" s="91" cm="1">
        <f t="array" aca="1" ref="S29" ca="1">IF($O29="Y",VLOOKUP($P29,INDIRECT($P$3),S$5,0)*INDIRECT($O$2),VLOOKUP($P29,INDIRECT($P$3),S$5,0))</f>
        <v>0.63239219999999985</v>
      </c>
      <c r="X29" s="94" t="str">
        <f t="shared" ref="X29:Y31" si="31">P29</f>
        <v>CAWWOC</v>
      </c>
      <c r="Y29" s="94" t="str">
        <f t="shared" si="31"/>
        <v>Water Operator Certification-C</v>
      </c>
      <c r="AA29" s="99">
        <f t="shared" ref="AA29:AA31" ca="1" si="32">ROUND(S29,3)</f>
        <v>0.63200000000000001</v>
      </c>
      <c r="AE29" s="50"/>
    </row>
    <row r="30" spans="1:31" x14ac:dyDescent="0.25">
      <c r="A30" t="s">
        <v>123</v>
      </c>
      <c r="B30" s="20">
        <f t="shared" ca="1" si="30"/>
        <v>0.95407781562499983</v>
      </c>
      <c r="C30" s="4" t="s">
        <v>48</v>
      </c>
      <c r="M30" s="21"/>
      <c r="O30" s="85" t="s">
        <v>149</v>
      </c>
      <c r="P30" s="86" t="s">
        <v>123</v>
      </c>
      <c r="Q30" s="85" t="s">
        <v>137</v>
      </c>
      <c r="S30" s="91" cm="1">
        <f t="array" aca="1" ref="S30" ca="1">IF($O30="Y",VLOOKUP($P30,INDIRECT($P$3),S$5,0)*INDIRECT($O$2),VLOOKUP($P30,INDIRECT($P$3),S$5,0))</f>
        <v>0.95407781562499983</v>
      </c>
      <c r="X30" s="94" t="str">
        <f t="shared" si="31"/>
        <v>CAWWOB</v>
      </c>
      <c r="Y30" s="94" t="str">
        <f t="shared" si="31"/>
        <v>Water Operator Certification-B</v>
      </c>
      <c r="AA30" s="99">
        <f t="shared" ca="1" si="32"/>
        <v>0.95399999999999996</v>
      </c>
      <c r="AE30" s="50"/>
    </row>
    <row r="31" spans="1:31" x14ac:dyDescent="0.25">
      <c r="A31" t="s">
        <v>122</v>
      </c>
      <c r="B31" s="20">
        <f t="shared" ca="1" si="30"/>
        <v>1.2757634312499995</v>
      </c>
      <c r="C31" s="4" t="s">
        <v>49</v>
      </c>
      <c r="M31" s="21"/>
      <c r="O31" s="85" t="s">
        <v>149</v>
      </c>
      <c r="P31" s="86" t="s">
        <v>122</v>
      </c>
      <c r="Q31" s="85" t="s">
        <v>138</v>
      </c>
      <c r="S31" s="91" cm="1">
        <f t="array" aca="1" ref="S31" ca="1">IF($O31="Y",VLOOKUP($P31,INDIRECT($P$3),S$5,0)*INDIRECT($O$2),VLOOKUP($P31,INDIRECT($P$3),S$5,0))</f>
        <v>1.2757634312499995</v>
      </c>
      <c r="X31" s="94" t="str">
        <f t="shared" si="31"/>
        <v>CAWWOA</v>
      </c>
      <c r="Y31" s="94" t="str">
        <f t="shared" si="31"/>
        <v>Water Operator Certification-A</v>
      </c>
      <c r="AA31" s="99">
        <f t="shared" ca="1" si="32"/>
        <v>1.276</v>
      </c>
      <c r="AE31" s="50"/>
    </row>
    <row r="33" spans="1:31" x14ac:dyDescent="0.25">
      <c r="B33" s="24" t="s">
        <v>170</v>
      </c>
      <c r="C33" s="27"/>
      <c r="D33" s="27"/>
      <c r="E33" s="72"/>
      <c r="F33" s="29"/>
      <c r="G33" s="29"/>
      <c r="H33" s="29"/>
      <c r="I33" s="29"/>
      <c r="J33" s="29"/>
      <c r="K33" s="29"/>
      <c r="L33" s="29"/>
      <c r="M33" s="29"/>
    </row>
    <row r="34" spans="1:31" x14ac:dyDescent="0.25">
      <c r="B34" s="20">
        <f t="shared" ref="B34" ca="1" si="33">S34</f>
        <v>0.92138172499999982</v>
      </c>
      <c r="C34" s="37" t="s">
        <v>106</v>
      </c>
      <c r="D34" s="37" t="s">
        <v>172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125</v>
      </c>
      <c r="Q34" s="85" t="s">
        <v>139</v>
      </c>
      <c r="S34" s="91" cm="1">
        <f t="array" aca="1" ref="S34" ca="1">IF($O34="Y",VLOOKUP($P34,INDIRECT($P$3),S$5,0)*INDIRECT($O$2),VLOOKUP($P34,INDIRECT($P$3),S$5,0))</f>
        <v>0.92138172499999982</v>
      </c>
      <c r="X34" s="94" t="str">
        <f t="shared" ref="X34:Y35" si="34">P34</f>
        <v>CAWEVE</v>
      </c>
      <c r="Y34" s="94" t="str">
        <f t="shared" si="34"/>
        <v>TL-Afternoon Shift Premium-CAW</v>
      </c>
      <c r="AA34" s="99">
        <f t="shared" ref="AA34:AA35" ca="1" si="35">ROUND(S34,3)</f>
        <v>0.92100000000000004</v>
      </c>
      <c r="AE34" s="50"/>
    </row>
    <row r="35" spans="1:31" x14ac:dyDescent="0.25">
      <c r="B35" s="124"/>
      <c r="C35" s="37"/>
      <c r="D35" s="37" t="s">
        <v>171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154</v>
      </c>
      <c r="Q35" s="85" t="s">
        <v>163</v>
      </c>
      <c r="S35" s="91">
        <f ca="1">S34</f>
        <v>0.92138172499999982</v>
      </c>
      <c r="X35" s="94" t="str">
        <f t="shared" si="34"/>
        <v>CAWWKE</v>
      </c>
      <c r="Y35" s="94" t="str">
        <f t="shared" si="34"/>
        <v>Weekend shift-CAW</v>
      </c>
      <c r="AA35" s="99">
        <f t="shared" ca="1" si="35"/>
        <v>0.92100000000000004</v>
      </c>
      <c r="AE35" s="50"/>
    </row>
    <row r="36" spans="1:31" x14ac:dyDescent="0.25">
      <c r="B36" s="20">
        <f t="shared" ref="B36" ca="1" si="36">S36</f>
        <v>1.3740532085156247</v>
      </c>
      <c r="C36" s="37" t="s">
        <v>106</v>
      </c>
      <c r="D36" s="37" t="s">
        <v>185</v>
      </c>
      <c r="E36" s="73"/>
      <c r="F36" s="33"/>
      <c r="G36" s="33"/>
      <c r="H36" s="33"/>
      <c r="I36" s="33"/>
      <c r="J36" s="33"/>
      <c r="K36" s="29"/>
      <c r="L36" s="29"/>
      <c r="M36" s="29"/>
      <c r="O36" s="85" t="s">
        <v>149</v>
      </c>
      <c r="P36" s="86" t="s">
        <v>126</v>
      </c>
      <c r="Q36" s="85" t="s">
        <v>140</v>
      </c>
      <c r="S36" s="91" cm="1">
        <f t="array" aca="1" ref="S36" ca="1">IF($O36="Y",VLOOKUP($P36,INDIRECT($P$3),S$5,0)*INDIRECT($O$2),VLOOKUP($P36,INDIRECT($P$3),S$5,0))</f>
        <v>1.3740532085156247</v>
      </c>
      <c r="X36" s="94" t="str">
        <f t="shared" ref="X36" si="37">P36</f>
        <v>CAWNIT</v>
      </c>
      <c r="Y36" s="94" t="str">
        <f t="shared" ref="Y36" si="38">Q36</f>
        <v>TL-Night Shift Premium-CPL</v>
      </c>
      <c r="AA36" s="99">
        <f t="shared" ref="AA36" ca="1" si="39">ROUND(S36,3)</f>
        <v>1.3740000000000001</v>
      </c>
      <c r="AE36" s="50"/>
    </row>
    <row r="37" spans="1:31" x14ac:dyDescent="0.25">
      <c r="B37" s="30"/>
      <c r="C37" s="31"/>
      <c r="D37" s="31"/>
      <c r="E37" s="73"/>
      <c r="F37" s="33"/>
      <c r="G37" s="33"/>
      <c r="H37" s="33"/>
      <c r="I37" s="33"/>
      <c r="J37" s="33"/>
      <c r="K37" s="29"/>
      <c r="L37" s="29"/>
      <c r="M37" s="29"/>
    </row>
    <row r="38" spans="1:31" x14ac:dyDescent="0.25">
      <c r="B38" s="103" t="s">
        <v>178</v>
      </c>
      <c r="C38" s="36"/>
      <c r="D38" s="34"/>
      <c r="E38" s="73"/>
      <c r="F38" s="33"/>
      <c r="G38" s="35"/>
      <c r="H38" s="35"/>
      <c r="I38" s="35"/>
      <c r="J38" s="38"/>
      <c r="K38" s="39"/>
      <c r="L38" s="33"/>
      <c r="M38" s="33"/>
    </row>
    <row r="39" spans="1:31" x14ac:dyDescent="0.25">
      <c r="B39" s="22">
        <f ca="1">S39</f>
        <v>0.84018000000000004</v>
      </c>
      <c r="C39" s="119" t="s">
        <v>106</v>
      </c>
      <c r="D39" s="119" t="s">
        <v>173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164</v>
      </c>
      <c r="Q39" s="85" t="s">
        <v>165</v>
      </c>
      <c r="S39" s="91" cm="1">
        <f t="array" aca="1" ref="S39" ca="1">IF($O39="Y",VLOOKUP($P39,INDIRECT($P$3),S$5,0)*INDIRECT($O$2),VLOOKUP($P39,INDIRECT($P$3),S$5,0))</f>
        <v>0.84018000000000004</v>
      </c>
      <c r="T39" s="105"/>
      <c r="X39" s="94" t="str">
        <f>P39</f>
        <v>CAWGLA</v>
      </c>
      <c r="Y39" s="94" t="str">
        <f t="shared" ref="Y39:Y43" si="40">Q39</f>
        <v>Gate Truck Lead Assignment</v>
      </c>
      <c r="AA39" s="99">
        <f t="shared" ref="AA39:AA43" ca="1" si="41">ROUND(S39,3)</f>
        <v>0.84</v>
      </c>
      <c r="AE39" s="50"/>
    </row>
    <row r="40" spans="1:31" x14ac:dyDescent="0.25">
      <c r="A40" s="104"/>
      <c r="B40" s="22">
        <f t="shared" ref="B40:B43" ca="1" si="42">S40</f>
        <v>0.39524512499999992</v>
      </c>
      <c r="C40" s="119" t="s">
        <v>106</v>
      </c>
      <c r="D40" s="119" t="s">
        <v>174</v>
      </c>
      <c r="E40" s="73"/>
      <c r="F40" s="33"/>
      <c r="G40" s="35"/>
      <c r="H40" s="35"/>
      <c r="I40" s="35"/>
      <c r="J40" s="38"/>
      <c r="K40" s="39"/>
      <c r="L40" s="33"/>
      <c r="M40" s="33"/>
      <c r="O40" s="85" t="s">
        <v>149</v>
      </c>
      <c r="P40" s="86" t="s">
        <v>118</v>
      </c>
      <c r="Q40" s="85" t="s">
        <v>131</v>
      </c>
      <c r="S40" s="91" cm="1">
        <f t="array" aca="1" ref="S40" ca="1">IF($O40="Y",VLOOKUP($P40,INDIRECT($P$3),S$5,0)*INDIRECT($O$2),VLOOKUP($P40,INDIRECT($P$3),S$5,0))</f>
        <v>0.39524512499999992</v>
      </c>
      <c r="X40" s="94" t="str">
        <f>P40</f>
        <v>CAWGTT</v>
      </c>
      <c r="Y40" s="94" t="str">
        <f t="shared" si="40"/>
        <v>TL-Gate Truck Premium-CAW</v>
      </c>
      <c r="AA40" s="99">
        <f t="shared" ca="1" si="41"/>
        <v>0.39500000000000002</v>
      </c>
      <c r="AE40" s="50"/>
    </row>
    <row r="41" spans="1:31" x14ac:dyDescent="0.25">
      <c r="A41" s="104"/>
      <c r="B41" s="22">
        <f t="shared" ca="1" si="42"/>
        <v>0.39524512499999992</v>
      </c>
      <c r="C41" s="118" t="s">
        <v>106</v>
      </c>
      <c r="D41" s="118" t="s">
        <v>175</v>
      </c>
      <c r="E41" s="73"/>
      <c r="F41" s="33"/>
      <c r="G41" s="35"/>
      <c r="H41" s="35"/>
      <c r="I41" s="35"/>
      <c r="J41" s="33"/>
      <c r="K41" s="33"/>
      <c r="L41" s="33"/>
      <c r="M41" s="33"/>
      <c r="O41" s="85" t="s">
        <v>149</v>
      </c>
      <c r="P41" s="86" t="s">
        <v>117</v>
      </c>
      <c r="Q41" s="85" t="s">
        <v>156</v>
      </c>
      <c r="S41" s="91" cm="1">
        <f t="array" aca="1" ref="S41" ca="1">IF($O41="Y",VLOOKUP($P41,INDIRECT($P$3),S$5,0)*INDIRECT($O$2),VLOOKUP($P41,INDIRECT($P$3),S$5,0))</f>
        <v>0.39524512499999992</v>
      </c>
      <c r="X41" s="94" t="str">
        <f>P41</f>
        <v>CAWTAP</v>
      </c>
      <c r="Y41" s="94" t="str">
        <f t="shared" si="40"/>
        <v>TL-Lrg &amp; Sml Taper Premium-CAW</v>
      </c>
      <c r="AA41" s="99">
        <f t="shared" ca="1" si="41"/>
        <v>0.39500000000000002</v>
      </c>
      <c r="AE41" s="50"/>
    </row>
    <row r="42" spans="1:31" x14ac:dyDescent="0.25">
      <c r="A42" s="104" t="s">
        <v>126</v>
      </c>
      <c r="B42" s="22">
        <f t="shared" ca="1" si="42"/>
        <v>1.2988193968749997</v>
      </c>
      <c r="C42" s="116" t="s">
        <v>106</v>
      </c>
      <c r="D42" s="117" t="s">
        <v>176</v>
      </c>
      <c r="E42" s="73"/>
      <c r="F42" s="29"/>
      <c r="G42" s="29"/>
      <c r="H42" s="35"/>
      <c r="I42" s="35"/>
      <c r="M42" s="33"/>
      <c r="O42" s="85" t="s">
        <v>149</v>
      </c>
      <c r="P42" s="86" t="s">
        <v>121</v>
      </c>
      <c r="Q42" s="85" t="s">
        <v>135</v>
      </c>
      <c r="S42" s="91" cm="1">
        <f t="array" aca="1" ref="S42" ca="1">IF($O42="Y",VLOOKUP($P42,INDIRECT($P$3),S$5,0)*INDIRECT($O$2),VLOOKUP($P42,INDIRECT($P$3),S$5,0))</f>
        <v>1.2988193968749997</v>
      </c>
      <c r="T42" s="106"/>
      <c r="X42" s="94" t="str">
        <f>P42</f>
        <v>CAWRSP</v>
      </c>
      <c r="Y42" s="94" t="str">
        <f t="shared" si="40"/>
        <v>TL-Respirator-CAW</v>
      </c>
      <c r="AA42" s="99">
        <f t="shared" ca="1" si="41"/>
        <v>1.2989999999999999</v>
      </c>
      <c r="AE42" s="50"/>
    </row>
    <row r="43" spans="1:31" x14ac:dyDescent="0.25">
      <c r="A43" s="104"/>
      <c r="B43" s="22">
        <f t="shared" ca="1" si="42"/>
        <v>0.39500999999999997</v>
      </c>
      <c r="C43" s="116" t="s">
        <v>106</v>
      </c>
      <c r="D43" s="118" t="s">
        <v>177</v>
      </c>
      <c r="E43" s="73"/>
      <c r="F43" s="33"/>
      <c r="G43" s="35"/>
      <c r="H43" s="35"/>
      <c r="I43" s="35"/>
      <c r="J43" s="33"/>
      <c r="K43" s="33"/>
      <c r="L43" s="33"/>
      <c r="M43" s="33"/>
      <c r="O43" s="85" t="s">
        <v>149</v>
      </c>
      <c r="P43" s="86" t="s">
        <v>166</v>
      </c>
      <c r="Q43" s="85" t="s">
        <v>167</v>
      </c>
      <c r="S43" s="91" cm="1">
        <f t="array" aca="1" ref="S43" ca="1">IF($O43="Y",VLOOKUP($P43,INDIRECT($P$3),S$5,0)*INDIRECT($O$2),VLOOKUP($P43,INDIRECT($P$3),S$5,0))</f>
        <v>0.39500999999999997</v>
      </c>
      <c r="X43" s="94" t="str">
        <f>P43</f>
        <v>CAWCMT</v>
      </c>
      <c r="Y43" s="94" t="str">
        <f t="shared" si="40"/>
        <v>Commercial Meter Testing (on-site)</v>
      </c>
      <c r="AA43" s="99">
        <f t="shared" ca="1" si="41"/>
        <v>0.39500000000000002</v>
      </c>
      <c r="AE43" s="50"/>
    </row>
    <row r="44" spans="1:31" x14ac:dyDescent="0.25">
      <c r="A44" s="104"/>
      <c r="B44" s="109"/>
      <c r="D44" s="37"/>
      <c r="E44" s="73"/>
      <c r="F44" s="33"/>
      <c r="G44" s="35"/>
      <c r="H44" s="35"/>
      <c r="I44" s="35"/>
      <c r="J44" s="33"/>
      <c r="K44" s="33"/>
      <c r="L44" s="33"/>
      <c r="M44" s="33"/>
      <c r="P44" s="85"/>
    </row>
    <row r="45" spans="1:31" x14ac:dyDescent="0.25">
      <c r="A45" s="104"/>
      <c r="B45" s="110"/>
      <c r="D45" s="37"/>
      <c r="E45" s="73"/>
      <c r="F45" s="33"/>
      <c r="G45" s="35"/>
      <c r="H45" s="35"/>
      <c r="I45" s="35"/>
      <c r="J45" s="33"/>
      <c r="K45" s="33"/>
      <c r="L45" s="33"/>
      <c r="M45" s="33"/>
    </row>
    <row r="46" spans="1:31" x14ac:dyDescent="0.25">
      <c r="A46" s="104"/>
      <c r="B46" s="111"/>
    </row>
    <row r="47" spans="1:31" x14ac:dyDescent="0.25">
      <c r="A47" s="104"/>
      <c r="B47" s="104"/>
    </row>
    <row r="48" spans="1:31" x14ac:dyDescent="0.25">
      <c r="A48" s="104"/>
      <c r="B48" s="108"/>
    </row>
    <row r="49" spans="1:14" x14ac:dyDescent="0.25">
      <c r="A49" s="104"/>
      <c r="B49" s="111"/>
    </row>
    <row r="50" spans="1:14" x14ac:dyDescent="0.25">
      <c r="A50" s="104"/>
      <c r="B50" s="111" t="s">
        <v>192</v>
      </c>
      <c r="N50" s="4" t="s">
        <v>193</v>
      </c>
    </row>
    <row r="51" spans="1:14" x14ac:dyDescent="0.25">
      <c r="A51" s="104"/>
      <c r="B51" s="104"/>
    </row>
    <row r="52" spans="1:14" x14ac:dyDescent="0.25">
      <c r="A52" s="104"/>
      <c r="B52" s="108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11"/>
    </row>
    <row r="57" spans="1:14" x14ac:dyDescent="0.25">
      <c r="A57" s="104"/>
      <c r="B57" s="104"/>
    </row>
    <row r="58" spans="1:14" x14ac:dyDescent="0.25">
      <c r="A58" s="104"/>
      <c r="B58" s="108"/>
    </row>
    <row r="59" spans="1:14" x14ac:dyDescent="0.25">
      <c r="A59" s="104"/>
      <c r="B59" s="111"/>
    </row>
    <row r="60" spans="1:14" x14ac:dyDescent="0.25">
      <c r="A60" s="104"/>
      <c r="B60" s="111"/>
    </row>
    <row r="61" spans="1:14" x14ac:dyDescent="0.25">
      <c r="A61" s="104"/>
      <c r="B61" s="111"/>
    </row>
  </sheetData>
  <sheetProtection sheet="1" objects="1" scenarios="1"/>
  <mergeCells count="1">
    <mergeCell ref="B13:M13"/>
  </mergeCells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1BB4E-BEE3-4F29-AD77-0AD3707FCC4D}">
  <dimension ref="A1:AD60"/>
  <sheetViews>
    <sheetView showGridLines="0" tabSelected="1" topLeftCell="B1" workbookViewId="0">
      <selection activeCell="B1" sqref="B1"/>
    </sheetView>
  </sheetViews>
  <sheetFormatPr defaultColWidth="9.140625" defaultRowHeight="15" x14ac:dyDescent="0.25"/>
  <cols>
    <col min="1" max="1" width="0" style="4" hidden="1" customWidth="1"/>
    <col min="2" max="2" width="10.42578125" style="4" customWidth="1"/>
    <col min="3" max="3" width="9.5703125" style="4" bestFit="1" customWidth="1"/>
    <col min="4" max="4" width="8.42578125" style="4" customWidth="1"/>
    <col min="5" max="5" width="7.140625" style="71" customWidth="1"/>
    <col min="6" max="6" width="42.5703125" style="4" customWidth="1"/>
    <col min="7" max="7" width="6.5703125" style="4" bestFit="1" customWidth="1"/>
    <col min="8" max="8" width="7.7109375" style="4" bestFit="1" customWidth="1"/>
    <col min="9" max="9" width="7.42578125" style="4" customWidth="1"/>
    <col min="10" max="12" width="8" style="4" customWidth="1"/>
    <col min="13" max="13" width="8.42578125" style="4" bestFit="1" customWidth="1"/>
    <col min="14" max="14" width="10.42578125" style="4" bestFit="1" customWidth="1"/>
    <col min="15" max="15" width="17.42578125" style="85" hidden="1" customWidth="1"/>
    <col min="16" max="16" width="12.28515625" style="86" hidden="1" customWidth="1"/>
    <col min="17" max="17" width="39.5703125" style="85" hidden="1" customWidth="1"/>
    <col min="18" max="18" width="4.28515625" style="86" hidden="1" customWidth="1"/>
    <col min="19" max="22" width="7.5703125" style="86" hidden="1" customWidth="1"/>
    <col min="23" max="23" width="9.140625" style="4" hidden="1" customWidth="1"/>
    <col min="24" max="24" width="17.28515625" style="94" hidden="1" customWidth="1"/>
    <col min="25" max="25" width="39.5703125" style="94" hidden="1" customWidth="1"/>
    <col min="26" max="26" width="4.28515625" style="94" hidden="1" customWidth="1"/>
    <col min="27" max="27" width="7.5703125" style="99" hidden="1" customWidth="1"/>
    <col min="28" max="30" width="7.5703125" style="94" hidden="1" customWidth="1"/>
    <col min="31" max="16384" width="9.140625" style="4"/>
  </cols>
  <sheetData>
    <row r="1" spans="2:30" x14ac:dyDescent="0.25">
      <c r="B1" s="4" t="s">
        <v>191</v>
      </c>
    </row>
    <row r="2" spans="2:30" ht="18.75" x14ac:dyDescent="0.3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182</v>
      </c>
      <c r="P2" s="101">
        <v>1.0249999999999999</v>
      </c>
      <c r="Q2" s="107"/>
      <c r="R2" s="91"/>
    </row>
    <row r="3" spans="2:30" x14ac:dyDescent="0.25">
      <c r="B3" s="114" t="str">
        <f>"Effective January 1, 2025 ("&amp;TEXT(BaseIncrPerc2025-1,"#.00%")&amp;" increase)"</f>
        <v>Effective January 1, 2025 (2.50%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183</v>
      </c>
    </row>
    <row r="4" spans="2:30" x14ac:dyDescent="0.2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0" x14ac:dyDescent="0.2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  <c r="X5" s="94" t="s">
        <v>195</v>
      </c>
    </row>
    <row r="6" spans="2:30" x14ac:dyDescent="0.25">
      <c r="B6" s="121"/>
      <c r="C6" s="2"/>
      <c r="D6" s="2"/>
      <c r="E6" s="64"/>
      <c r="F6" s="2"/>
      <c r="G6" s="2"/>
      <c r="H6" s="3"/>
      <c r="I6" s="3"/>
      <c r="J6" s="3"/>
      <c r="P6" s="91"/>
      <c r="X6" s="94" t="s">
        <v>194</v>
      </c>
    </row>
    <row r="7" spans="2:30" s="10" customFormat="1" ht="30" x14ac:dyDescent="0.2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2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M11" ca="1" si="0">S8</f>
        <v>21.625336932890619</v>
      </c>
      <c r="K8" s="50" t="str">
        <f ca="1">TEXT(T8,"$#.000")&amp;"*"</f>
        <v>$23.934*</v>
      </c>
      <c r="L8" s="40"/>
      <c r="M8" s="40"/>
      <c r="O8" s="85" t="s">
        <v>149</v>
      </c>
      <c r="P8" s="86" t="str">
        <f>D8</f>
        <v>52917C</v>
      </c>
      <c r="Q8" s="85" t="str">
        <f t="shared" ref="Q8:Q11" si="1">F8</f>
        <v>Water Distribution Operator Trainee</v>
      </c>
      <c r="R8" s="90" t="str">
        <f>E8</f>
        <v>04</v>
      </c>
      <c r="S8" s="91" cm="1">
        <f t="array" aca="1" ref="S8" ca="1">IF($O8="Y",VLOOKUP($P8,INDIRECT($P$3),S$5,0)*INDIRECT($O$2),VLOOKUP($P8,INDIRECT($P$3),S$5,0))</f>
        <v>21.625336932890619</v>
      </c>
      <c r="T8" s="91" cm="1">
        <f t="array" aca="1" ref="T8" ca="1">IF($O8="Y",VLOOKUP($P8,INDIRECT($P$3),T$5,0)*INDIRECT($O$2),VLOOKUP($P8,INDIRECT($P$3),T$5,0))</f>
        <v>23.933611307890619</v>
      </c>
      <c r="U8" s="91"/>
      <c r="V8" s="91"/>
      <c r="X8" s="94" t="str">
        <f t="shared" ref="X8:Z11" si="2">P8</f>
        <v>52917C</v>
      </c>
      <c r="Y8" s="94" t="str">
        <f t="shared" si="2"/>
        <v>Water Distribution Operator Trainee</v>
      </c>
      <c r="Z8" s="98" t="str">
        <f t="shared" si="2"/>
        <v>04</v>
      </c>
      <c r="AA8" s="99">
        <f t="shared" ref="AA8:AD11" ca="1" si="3">ROUND(S8,3)</f>
        <v>21.625</v>
      </c>
      <c r="AB8" s="99">
        <f t="shared" ca="1" si="3"/>
        <v>23.934000000000001</v>
      </c>
      <c r="AC8" s="99"/>
      <c r="AD8" s="99"/>
    </row>
    <row r="9" spans="2:30" x14ac:dyDescent="0.2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>
        <f t="shared" ca="1" si="0"/>
        <v>29.265342856406242</v>
      </c>
      <c r="K9" s="50">
        <f t="shared" ca="1" si="0"/>
        <v>30.714794562031241</v>
      </c>
      <c r="L9" s="50">
        <f t="shared" ca="1" si="0"/>
        <v>32.238519414062495</v>
      </c>
      <c r="M9" s="50">
        <f t="shared" ca="1" si="0"/>
        <v>33.838768113906241</v>
      </c>
      <c r="N9" s="58"/>
      <c r="O9" s="85" t="s">
        <v>149</v>
      </c>
      <c r="P9" s="86" t="str">
        <f>D9</f>
        <v>52938C</v>
      </c>
      <c r="Q9" s="85" t="str">
        <f t="shared" si="1"/>
        <v>Water Distribution Operator</v>
      </c>
      <c r="R9" s="90" t="str">
        <f>E9</f>
        <v>01</v>
      </c>
      <c r="S9" s="91" cm="1">
        <f t="array" aca="1" ref="S9" ca="1">IF($O9="Y",VLOOKUP($P9,INDIRECT($P$3),S$5,0)*INDIRECT($O$2),VLOOKUP($P9,INDIRECT($P$3),S$5,0))</f>
        <v>29.265342856406242</v>
      </c>
      <c r="T9" s="91" cm="1">
        <f t="array" aca="1" ref="T9" ca="1">IF($O9="Y",VLOOKUP($P9,INDIRECT($P$3),T$5,0)*INDIRECT($O$2),VLOOKUP($P9,INDIRECT($P$3),T$5,0))</f>
        <v>30.714794562031241</v>
      </c>
      <c r="U9" s="91" cm="1">
        <f t="array" aca="1" ref="U9" ca="1">IF($O9="Y",VLOOKUP($P9,INDIRECT($P$3),U$5,0)*INDIRECT($O$2),VLOOKUP($P9,INDIRECT($P$3),U$5,0))</f>
        <v>32.238519414062495</v>
      </c>
      <c r="V9" s="91" cm="1">
        <f t="array" aca="1" ref="V9" ca="1">IF($O9="Y",VLOOKUP($P9,INDIRECT($P$3),V$5,0)*INDIRECT($O$2),VLOOKUP($P9,INDIRECT($P$3),V$5,0))</f>
        <v>33.838768113906241</v>
      </c>
      <c r="X9" s="94" t="str">
        <f t="shared" si="2"/>
        <v>52938C</v>
      </c>
      <c r="Y9" s="94" t="str">
        <f t="shared" si="2"/>
        <v>Water Distribution Operator</v>
      </c>
      <c r="Z9" s="98" t="str">
        <f t="shared" si="2"/>
        <v>01</v>
      </c>
      <c r="AA9" s="99">
        <f t="shared" ca="1" si="3"/>
        <v>29.265000000000001</v>
      </c>
      <c r="AB9" s="99">
        <f t="shared" ca="1" si="3"/>
        <v>30.715</v>
      </c>
      <c r="AC9" s="99">
        <f t="shared" ca="1" si="3"/>
        <v>32.238999999999997</v>
      </c>
      <c r="AD9" s="99">
        <f t="shared" ca="1" si="3"/>
        <v>33.838999999999999</v>
      </c>
    </row>
    <row r="10" spans="2:30" x14ac:dyDescent="0.2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ref="J10" ca="1" si="4">S10</f>
        <v>35.877049999999997</v>
      </c>
      <c r="K10" s="50">
        <f t="shared" ref="K10" ca="1" si="5">T10</f>
        <v>37.766124999999995</v>
      </c>
      <c r="L10" s="50">
        <f t="shared" ref="L10" ca="1" si="6">U10</f>
        <v>39.753599999999999</v>
      </c>
      <c r="M10" s="50">
        <f t="shared" ref="M10" ca="1" si="7">V10</f>
        <v>41.845624999999998</v>
      </c>
      <c r="N10" s="58"/>
      <c r="O10" s="85" t="s">
        <v>149</v>
      </c>
      <c r="P10" s="86" t="s">
        <v>188</v>
      </c>
      <c r="Q10" s="85" t="str">
        <f t="shared" ref="Q10" si="8">F10</f>
        <v>Water Loss &amp; Service Connection Inspector</v>
      </c>
      <c r="R10" s="90" t="str">
        <f>E10</f>
        <v>10</v>
      </c>
      <c r="S10" s="91" cm="1">
        <f t="array" aca="1" ref="S10" ca="1">IF($O10="Y",VLOOKUP($P10,INDIRECT($P$3),S$5,0)*INDIRECT($O$2),VLOOKUP($P10,INDIRECT($P$3),S$5,0))</f>
        <v>35.877049999999997</v>
      </c>
      <c r="T10" s="91" cm="1">
        <f t="array" aca="1" ref="T10" ca="1">IF($O10="Y",VLOOKUP($P10,INDIRECT($P$3),T$5,0)*INDIRECT($O$2),VLOOKUP($P10,INDIRECT($P$3),T$5,0))</f>
        <v>37.766124999999995</v>
      </c>
      <c r="U10" s="91" cm="1">
        <f t="array" aca="1" ref="U10" ca="1">IF($O10="Y",VLOOKUP($P10,INDIRECT($P$3),U$5,0)*INDIRECT($O$2),VLOOKUP($P10,INDIRECT($P$3),U$5,0))</f>
        <v>39.753599999999999</v>
      </c>
      <c r="V10" s="91" cm="1">
        <f t="array" aca="1" ref="V10" ca="1">IF($O10="Y",VLOOKUP($P10,INDIRECT($P$3),V$5,0)*INDIRECT($O$2),VLOOKUP($P10,INDIRECT($P$3),V$5,0))</f>
        <v>41.845624999999998</v>
      </c>
      <c r="X10" s="94" t="s">
        <v>188</v>
      </c>
      <c r="Y10" s="94" t="str">
        <f t="shared" ref="Y10" si="9">Q10</f>
        <v>Water Loss &amp; Service Connection Inspector</v>
      </c>
      <c r="Z10" s="98" t="str">
        <f t="shared" ref="Z10" si="10">R10</f>
        <v>10</v>
      </c>
      <c r="AA10" s="99">
        <f t="shared" ref="AA10" ca="1" si="11">ROUND(S10,3)</f>
        <v>35.877000000000002</v>
      </c>
      <c r="AB10" s="99">
        <f t="shared" ref="AB10" ca="1" si="12">ROUND(T10,3)</f>
        <v>37.765999999999998</v>
      </c>
      <c r="AC10" s="99">
        <f t="shared" ref="AC10" ca="1" si="13">ROUND(U10,3)</f>
        <v>39.753999999999998</v>
      </c>
      <c r="AD10" s="99">
        <f t="shared" ref="AD10" ca="1" si="14">ROUND(V10,3)</f>
        <v>41.845999999999997</v>
      </c>
    </row>
    <row r="11" spans="2:30" x14ac:dyDescent="0.2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ca="1" si="0"/>
        <v>31.20994887140624</v>
      </c>
      <c r="K11" s="59">
        <f t="shared" ca="1" si="0"/>
        <v>32.695411799531243</v>
      </c>
      <c r="L11" s="59">
        <f t="shared" ca="1" si="0"/>
        <v>34.25289717265624</v>
      </c>
      <c r="M11" s="59">
        <f t="shared" ca="1" si="0"/>
        <v>35.884655692187486</v>
      </c>
      <c r="O11" s="85" t="s">
        <v>149</v>
      </c>
      <c r="P11" s="86" t="str">
        <f>D11</f>
        <v>52939C</v>
      </c>
      <c r="Q11" s="85" t="str">
        <f t="shared" si="1"/>
        <v>Senior Water Distribution Operator</v>
      </c>
      <c r="R11" s="90" t="str">
        <f>E11</f>
        <v>02</v>
      </c>
      <c r="S11" s="91" cm="1">
        <f t="array" aca="1" ref="S11" ca="1">IF($O11="Y",VLOOKUP($P11,INDIRECT($P$3),S$5,0)*INDIRECT($O$2),VLOOKUP($P11,INDIRECT($P$3),S$5,0))</f>
        <v>31.20994887140624</v>
      </c>
      <c r="T11" s="91" cm="1">
        <f t="array" aca="1" ref="T11" ca="1">IF($O11="Y",VLOOKUP($P11,INDIRECT($P$3),T$5,0)*INDIRECT($O$2),VLOOKUP($P11,INDIRECT($P$3),T$5,0))</f>
        <v>32.695411799531243</v>
      </c>
      <c r="U11" s="91" cm="1">
        <f t="array" aca="1" ref="U11" ca="1">IF($O11="Y",VLOOKUP($P11,INDIRECT($P$3),U$5,0)*INDIRECT($O$2),VLOOKUP($P11,INDIRECT($P$3),U$5,0))</f>
        <v>34.25289717265624</v>
      </c>
      <c r="V11" s="91" cm="1">
        <f t="array" aca="1" ref="V11" ca="1">IF($O11="Y",VLOOKUP($P11,INDIRECT($P$3),V$5,0)*INDIRECT($O$2),VLOOKUP($P11,INDIRECT($P$3),V$5,0))</f>
        <v>35.884655692187486</v>
      </c>
      <c r="X11" s="94" t="str">
        <f t="shared" si="2"/>
        <v>52939C</v>
      </c>
      <c r="Y11" s="94" t="str">
        <f t="shared" si="2"/>
        <v>Senior Water Distribution Operator</v>
      </c>
      <c r="Z11" s="98" t="str">
        <f t="shared" si="2"/>
        <v>02</v>
      </c>
      <c r="AA11" s="99">
        <f t="shared" ca="1" si="3"/>
        <v>31.21</v>
      </c>
      <c r="AB11" s="99">
        <f t="shared" ca="1" si="3"/>
        <v>32.695</v>
      </c>
      <c r="AC11" s="99">
        <f t="shared" ca="1" si="3"/>
        <v>34.253</v>
      </c>
      <c r="AD11" s="99">
        <f t="shared" ca="1" si="3"/>
        <v>35.884999999999998</v>
      </c>
    </row>
    <row r="12" spans="2:30" x14ac:dyDescent="0.25">
      <c r="B12" s="123" t="s">
        <v>161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</row>
    <row r="13" spans="2:30" x14ac:dyDescent="0.2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2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2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2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94" t="s">
        <v>26</v>
      </c>
    </row>
    <row r="17" spans="1:30" x14ac:dyDescent="0.25">
      <c r="B17" s="20">
        <f ca="1">S17</f>
        <v>0.36798967992187492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0.36798967992187492</v>
      </c>
      <c r="X17" s="94" t="str">
        <f>P17</f>
        <v>Year 10</v>
      </c>
      <c r="AA17" s="99">
        <f t="shared" ref="AA17:AA20" ca="1" si="15">ROUND(S17,3)</f>
        <v>0.36799999999999999</v>
      </c>
    </row>
    <row r="18" spans="1:30" x14ac:dyDescent="0.25">
      <c r="B18" s="20">
        <f t="shared" ref="B18:B20" ca="1" si="16">S18</f>
        <v>0.51541062203124977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0.51541062203124977</v>
      </c>
      <c r="X18" s="94" t="str">
        <f t="shared" ref="X18:X20" si="17">P18</f>
        <v>Year 15</v>
      </c>
      <c r="AA18" s="99">
        <f t="shared" ca="1" si="15"/>
        <v>0.51500000000000001</v>
      </c>
    </row>
    <row r="19" spans="1:30" x14ac:dyDescent="0.25">
      <c r="B19" s="20">
        <f t="shared" ca="1" si="16"/>
        <v>0.62456964023437489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0.62456964023437489</v>
      </c>
      <c r="X19" s="94" t="str">
        <f t="shared" si="17"/>
        <v>Year 20</v>
      </c>
      <c r="AA19" s="99">
        <f t="shared" ca="1" si="15"/>
        <v>0.625</v>
      </c>
    </row>
    <row r="20" spans="1:30" x14ac:dyDescent="0.25">
      <c r="B20" s="20">
        <f t="shared" ca="1" si="16"/>
        <v>0.73260330773437488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0.73260330773437488</v>
      </c>
      <c r="X20" s="94" t="str">
        <f t="shared" si="17"/>
        <v>Year 25</v>
      </c>
      <c r="AA20" s="99">
        <f t="shared" ca="1" si="15"/>
        <v>0.73299999999999998</v>
      </c>
    </row>
    <row r="21" spans="1:30" x14ac:dyDescent="0.2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2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2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2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8">P24</f>
        <v>Safety Shoes</v>
      </c>
      <c r="AA24" s="99">
        <f t="shared" ref="AA24" si="19">ROUND(S24,3)</f>
        <v>0.1</v>
      </c>
    </row>
    <row r="25" spans="1:30" x14ac:dyDescent="0.2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2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25">
      <c r="B27" s="4" t="s">
        <v>168</v>
      </c>
    </row>
    <row r="28" spans="1:30" x14ac:dyDescent="0.25">
      <c r="A28" t="s">
        <v>124</v>
      </c>
      <c r="B28" s="20">
        <f t="shared" ref="B28:B30" ca="1" si="20">S28</f>
        <v>0.6482020049999998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0.6482020049999998</v>
      </c>
      <c r="X28" s="94" t="str">
        <f t="shared" ref="X28:Y30" si="21">P28</f>
        <v>CAWWOC</v>
      </c>
      <c r="Y28" s="94" t="str">
        <f t="shared" si="21"/>
        <v>Water Operator Certification-C</v>
      </c>
      <c r="AA28" s="99">
        <f t="shared" ref="AA28:AA30" ca="1" si="22">ROUND(S28,3)</f>
        <v>0.64800000000000002</v>
      </c>
    </row>
    <row r="29" spans="1:30" x14ac:dyDescent="0.25">
      <c r="A29" t="s">
        <v>123</v>
      </c>
      <c r="B29" s="20">
        <f t="shared" ca="1" si="20"/>
        <v>0.97792976101562479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0.97792976101562479</v>
      </c>
      <c r="X29" s="94" t="str">
        <f t="shared" si="21"/>
        <v>CAWWOB</v>
      </c>
      <c r="Y29" s="94" t="str">
        <f t="shared" si="21"/>
        <v>Water Operator Certification-B</v>
      </c>
      <c r="AA29" s="99">
        <f t="shared" ca="1" si="22"/>
        <v>0.97799999999999998</v>
      </c>
    </row>
    <row r="30" spans="1:30" x14ac:dyDescent="0.25">
      <c r="A30" t="s">
        <v>122</v>
      </c>
      <c r="B30" s="20">
        <f t="shared" ca="1" si="20"/>
        <v>1.3076575170312494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1.3076575170312494</v>
      </c>
      <c r="X30" s="94" t="str">
        <f t="shared" si="21"/>
        <v>CAWWOA</v>
      </c>
      <c r="Y30" s="94" t="str">
        <f t="shared" si="21"/>
        <v>Water Operator Certification-A</v>
      </c>
      <c r="AA30" s="99">
        <f t="shared" ca="1" si="22"/>
        <v>1.3080000000000001</v>
      </c>
    </row>
    <row r="32" spans="1:30" x14ac:dyDescent="0.2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25">
      <c r="B33" s="20">
        <f t="shared" ref="B33" ca="1" si="23">S33</f>
        <v>0.94441626812499968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0.94441626812499968</v>
      </c>
      <c r="X33" s="94" t="str">
        <f t="shared" ref="X33:Y34" si="24">P33</f>
        <v>CAWEVE</v>
      </c>
      <c r="Y33" s="94" t="str">
        <f t="shared" si="24"/>
        <v>TL-Afternoon Shift Premium-CAW</v>
      </c>
      <c r="AA33" s="99">
        <f t="shared" ref="AA33:AA34" ca="1" si="25">ROUND(S33,3)</f>
        <v>0.94399999999999995</v>
      </c>
    </row>
    <row r="34" spans="1:27" x14ac:dyDescent="0.2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0.94441626812499968</v>
      </c>
      <c r="X34" s="94" t="str">
        <f t="shared" si="24"/>
        <v>CAWWKE</v>
      </c>
      <c r="Y34" s="94" t="str">
        <f t="shared" si="24"/>
        <v>Weekend shift-CAW</v>
      </c>
      <c r="AA34" s="99">
        <f t="shared" ca="1" si="25"/>
        <v>0.94399999999999995</v>
      </c>
    </row>
    <row r="35" spans="1:27" x14ac:dyDescent="0.25">
      <c r="B35" s="20">
        <f t="shared" ref="B35" ca="1" si="26">S35</f>
        <v>1.4084045387285153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1.4084045387285153</v>
      </c>
      <c r="X35" s="94" t="str">
        <f t="shared" ref="X35" si="27">P35</f>
        <v>CAWNIT</v>
      </c>
      <c r="Y35" s="94" t="str">
        <f t="shared" ref="Y35" si="28">Q35</f>
        <v>TL-Night Shift Premium-CPL</v>
      </c>
      <c r="AA35" s="99">
        <f t="shared" ref="AA35" ca="1" si="29">ROUND(S35,3)</f>
        <v>1.4079999999999999</v>
      </c>
    </row>
    <row r="36" spans="1:27" x14ac:dyDescent="0.2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2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25">
      <c r="B38" s="22">
        <f ca="1">S38</f>
        <v>0.86118450000000002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91" cm="1">
        <f t="array" aca="1" ref="S38" ca="1">IF($O38="Y",VLOOKUP($P38,INDIRECT($P$3),S$5,0)*INDIRECT($O$2),VLOOKUP($P38,INDIRECT($P$3),S$5,0))</f>
        <v>0.86118450000000002</v>
      </c>
      <c r="T38" s="105"/>
      <c r="X38" s="94" t="str">
        <f>P38</f>
        <v>CAWGLA</v>
      </c>
      <c r="Y38" s="94" t="str">
        <f t="shared" ref="Y38:Y42" si="30">Q38</f>
        <v>Gate Truck Lead Assignment</v>
      </c>
      <c r="AA38" s="99">
        <f t="shared" ref="AA38:AA42" ca="1" si="31">ROUND(S38,3)</f>
        <v>0.86099999999999999</v>
      </c>
    </row>
    <row r="39" spans="1:27" x14ac:dyDescent="0.25">
      <c r="A39" s="104"/>
      <c r="B39" s="22">
        <f t="shared" ref="B39:B42" ca="1" si="32">S39</f>
        <v>0.40512625312499989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0.40512625312499989</v>
      </c>
      <c r="X39" s="94" t="str">
        <f>P39</f>
        <v>CAWGTT</v>
      </c>
      <c r="Y39" s="94" t="str">
        <f t="shared" si="30"/>
        <v>TL-Gate Truck Premium-CAW</v>
      </c>
      <c r="AA39" s="99">
        <f t="shared" ca="1" si="31"/>
        <v>0.40500000000000003</v>
      </c>
    </row>
    <row r="40" spans="1:27" x14ac:dyDescent="0.25">
      <c r="A40" s="104"/>
      <c r="B40" s="22">
        <f t="shared" ca="1" si="32"/>
        <v>0.40512625312499989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0.40512625312499989</v>
      </c>
      <c r="X40" s="94" t="str">
        <f>P40</f>
        <v>CAWTAP</v>
      </c>
      <c r="Y40" s="94" t="str">
        <f t="shared" si="30"/>
        <v>TL-Lrg &amp; Sml Taper Premium-CAW</v>
      </c>
      <c r="AA40" s="99">
        <f t="shared" ca="1" si="31"/>
        <v>0.40500000000000003</v>
      </c>
    </row>
    <row r="41" spans="1:27" x14ac:dyDescent="0.25">
      <c r="A41" s="104" t="s">
        <v>126</v>
      </c>
      <c r="B41" s="22">
        <f t="shared" ca="1" si="32"/>
        <v>1.3312898817968746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1.3312898817968746</v>
      </c>
      <c r="T41" s="106"/>
      <c r="X41" s="94" t="str">
        <f>P41</f>
        <v>CAWRSP</v>
      </c>
      <c r="Y41" s="94" t="str">
        <f t="shared" si="30"/>
        <v>TL-Respirator-CAW</v>
      </c>
      <c r="AA41" s="99">
        <f t="shared" ca="1" si="31"/>
        <v>1.331</v>
      </c>
    </row>
    <row r="42" spans="1:27" x14ac:dyDescent="0.25">
      <c r="A42" s="104"/>
      <c r="B42" s="22">
        <f t="shared" ca="1" si="32"/>
        <v>0.40488524999999992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91" cm="1">
        <f t="array" aca="1" ref="S42" ca="1">IF($O42="Y",VLOOKUP($P42,INDIRECT($P$3),S$5,0)*INDIRECT($O$2),VLOOKUP($P42,INDIRECT($P$3),S$5,0))</f>
        <v>0.40488524999999992</v>
      </c>
      <c r="X42" s="94" t="str">
        <f>P42</f>
        <v>CAWCMT</v>
      </c>
      <c r="Y42" s="94" t="str">
        <f t="shared" si="30"/>
        <v>Commercial Meter Testing (on-site)</v>
      </c>
      <c r="AA42" s="99">
        <f t="shared" ca="1" si="31"/>
        <v>0.40500000000000003</v>
      </c>
    </row>
    <row r="43" spans="1:27" x14ac:dyDescent="0.2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2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25">
      <c r="A45" s="104"/>
      <c r="B45" s="111"/>
    </row>
    <row r="46" spans="1:27" x14ac:dyDescent="0.25">
      <c r="A46" s="104"/>
      <c r="B46" s="104"/>
    </row>
    <row r="47" spans="1:27" x14ac:dyDescent="0.25">
      <c r="A47" s="104"/>
      <c r="B47" s="108"/>
    </row>
    <row r="48" spans="1:27" x14ac:dyDescent="0.25">
      <c r="A48" s="104"/>
      <c r="B48" s="111"/>
    </row>
    <row r="49" spans="1:14" x14ac:dyDescent="0.25">
      <c r="A49" s="104"/>
      <c r="B49" s="111" t="s">
        <v>192</v>
      </c>
      <c r="N49" s="4" t="s">
        <v>193</v>
      </c>
    </row>
    <row r="50" spans="1:14" x14ac:dyDescent="0.25">
      <c r="A50" s="104"/>
      <c r="B50" s="104"/>
    </row>
    <row r="51" spans="1:14" x14ac:dyDescent="0.25">
      <c r="A51" s="104"/>
      <c r="B51" s="108"/>
    </row>
    <row r="52" spans="1:14" x14ac:dyDescent="0.25">
      <c r="A52" s="104"/>
      <c r="B52" s="111"/>
    </row>
    <row r="53" spans="1:14" x14ac:dyDescent="0.25">
      <c r="A53" s="104"/>
      <c r="B53" s="111"/>
    </row>
    <row r="54" spans="1:14" x14ac:dyDescent="0.25">
      <c r="A54" s="104"/>
      <c r="B54" s="111"/>
    </row>
    <row r="55" spans="1:14" x14ac:dyDescent="0.25">
      <c r="A55" s="104"/>
      <c r="B55" s="111"/>
    </row>
    <row r="56" spans="1:14" x14ac:dyDescent="0.25">
      <c r="A56" s="104"/>
      <c r="B56" s="104"/>
    </row>
    <row r="57" spans="1:14" x14ac:dyDescent="0.25">
      <c r="A57" s="104"/>
      <c r="B57" s="108"/>
    </row>
    <row r="58" spans="1:14" x14ac:dyDescent="0.25">
      <c r="A58" s="104"/>
      <c r="B58" s="111"/>
    </row>
    <row r="59" spans="1:14" x14ac:dyDescent="0.25">
      <c r="A59" s="104"/>
      <c r="B59" s="111"/>
    </row>
    <row r="60" spans="1:14" x14ac:dyDescent="0.2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CF076-0608-490F-89A5-30EFF87124EA}">
  <dimension ref="A1:C18"/>
  <sheetViews>
    <sheetView workbookViewId="0">
      <selection activeCell="A19" sqref="A19"/>
    </sheetView>
  </sheetViews>
  <sheetFormatPr defaultRowHeight="15" x14ac:dyDescent="0.25"/>
  <cols>
    <col min="1" max="1" width="10.7109375" bestFit="1" customWidth="1"/>
    <col min="2" max="2" width="17.28515625" bestFit="1" customWidth="1"/>
    <col min="3" max="3" width="92.85546875" style="53" bestFit="1" customWidth="1"/>
  </cols>
  <sheetData>
    <row r="1" spans="1:3" x14ac:dyDescent="0.25">
      <c r="A1" s="43" t="s">
        <v>64</v>
      </c>
      <c r="B1" s="44" t="s">
        <v>65</v>
      </c>
      <c r="C1" s="45" t="s">
        <v>66</v>
      </c>
    </row>
    <row r="2" spans="1:3" ht="60" x14ac:dyDescent="0.25">
      <c r="A2" t="s">
        <v>79</v>
      </c>
      <c r="B2" t="s">
        <v>80</v>
      </c>
      <c r="C2" s="53" t="s">
        <v>81</v>
      </c>
    </row>
    <row r="3" spans="1:3" x14ac:dyDescent="0.25">
      <c r="A3" s="46">
        <v>43707</v>
      </c>
      <c r="B3" s="47" t="s">
        <v>67</v>
      </c>
      <c r="C3" s="48" t="s">
        <v>68</v>
      </c>
    </row>
    <row r="4" spans="1:3" ht="30" x14ac:dyDescent="0.25">
      <c r="A4" s="52">
        <v>43719</v>
      </c>
      <c r="B4" t="s">
        <v>67</v>
      </c>
      <c r="C4" s="53" t="s">
        <v>77</v>
      </c>
    </row>
    <row r="5" spans="1:3" ht="45" x14ac:dyDescent="0.25">
      <c r="A5" s="52">
        <v>43766</v>
      </c>
      <c r="B5" t="s">
        <v>67</v>
      </c>
      <c r="C5" s="53" t="s">
        <v>78</v>
      </c>
    </row>
    <row r="6" spans="1:3" x14ac:dyDescent="0.25">
      <c r="A6" s="52">
        <v>43773</v>
      </c>
      <c r="B6" t="s">
        <v>67</v>
      </c>
      <c r="C6" s="53" t="s">
        <v>93</v>
      </c>
    </row>
    <row r="7" spans="1:3" x14ac:dyDescent="0.25">
      <c r="A7" s="52">
        <v>43804</v>
      </c>
      <c r="B7" t="s">
        <v>67</v>
      </c>
      <c r="C7" s="53" t="s">
        <v>95</v>
      </c>
    </row>
    <row r="8" spans="1:3" x14ac:dyDescent="0.25">
      <c r="A8" s="52">
        <v>43889</v>
      </c>
      <c r="B8" t="s">
        <v>67</v>
      </c>
      <c r="C8" s="53" t="s">
        <v>100</v>
      </c>
    </row>
    <row r="9" spans="1:3" x14ac:dyDescent="0.25">
      <c r="A9" s="52">
        <v>43889</v>
      </c>
      <c r="B9" t="s">
        <v>67</v>
      </c>
      <c r="C9" s="53" t="s">
        <v>99</v>
      </c>
    </row>
    <row r="10" spans="1:3" x14ac:dyDescent="0.25">
      <c r="A10" s="52">
        <v>43889</v>
      </c>
      <c r="B10" t="s">
        <v>67</v>
      </c>
      <c r="C10" s="53" t="s">
        <v>101</v>
      </c>
    </row>
    <row r="11" spans="1:3" ht="30" x14ac:dyDescent="0.25">
      <c r="A11" s="52">
        <v>43900</v>
      </c>
      <c r="B11" t="s">
        <v>67</v>
      </c>
      <c r="C11" s="53" t="s">
        <v>110</v>
      </c>
    </row>
    <row r="12" spans="1:3" x14ac:dyDescent="0.25">
      <c r="A12" s="52">
        <v>43900</v>
      </c>
      <c r="B12" t="s">
        <v>67</v>
      </c>
      <c r="C12" s="53" t="s">
        <v>111</v>
      </c>
    </row>
    <row r="13" spans="1:3" ht="30" x14ac:dyDescent="0.25">
      <c r="A13" s="52">
        <v>43909</v>
      </c>
      <c r="B13" t="s">
        <v>67</v>
      </c>
      <c r="C13" s="53" t="s">
        <v>112</v>
      </c>
    </row>
    <row r="14" spans="1:3" x14ac:dyDescent="0.25">
      <c r="A14" s="52">
        <v>43955</v>
      </c>
      <c r="B14" t="s">
        <v>67</v>
      </c>
      <c r="C14" s="53" t="s">
        <v>114</v>
      </c>
    </row>
    <row r="15" spans="1:3" x14ac:dyDescent="0.25">
      <c r="A15" s="52">
        <v>43999</v>
      </c>
      <c r="B15" t="s">
        <v>67</v>
      </c>
      <c r="C15" s="53" t="s">
        <v>115</v>
      </c>
    </row>
    <row r="16" spans="1:3" x14ac:dyDescent="0.25">
      <c r="A16" s="52">
        <v>43999</v>
      </c>
      <c r="B16" t="s">
        <v>67</v>
      </c>
      <c r="C16" s="53" t="s">
        <v>116</v>
      </c>
    </row>
    <row r="17" spans="1:3" x14ac:dyDescent="0.25">
      <c r="A17" s="52">
        <v>45485</v>
      </c>
      <c r="B17" t="s">
        <v>186</v>
      </c>
      <c r="C17" s="53" t="s">
        <v>187</v>
      </c>
    </row>
    <row r="18" spans="1:3" ht="30" x14ac:dyDescent="0.25">
      <c r="A18" s="52">
        <v>45959</v>
      </c>
      <c r="B18" t="s">
        <v>67</v>
      </c>
      <c r="C18" s="53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February 2018</vt:lpstr>
      <vt:lpstr>October 2019</vt:lpstr>
      <vt:lpstr>May 2020</vt:lpstr>
      <vt:lpstr>March 2021</vt:lpstr>
      <vt:lpstr>March 2022</vt:lpstr>
      <vt:lpstr>January 2023</vt:lpstr>
      <vt:lpstr>January 2024</vt:lpstr>
      <vt:lpstr>January 2025</vt:lpstr>
      <vt:lpstr>Notes</vt:lpstr>
      <vt:lpstr>BaseIncrPerc2020</vt:lpstr>
      <vt:lpstr>BaseIncrPerc2021</vt:lpstr>
      <vt:lpstr>BaseIncrPerc2022</vt:lpstr>
      <vt:lpstr>BaseIncrPerc2023</vt:lpstr>
      <vt:lpstr>BaseIncrPerc2024</vt:lpstr>
      <vt:lpstr>BaseIncrPerc2025</vt:lpstr>
      <vt:lpstr>DataJan2023</vt:lpstr>
      <vt:lpstr>DataJan2024</vt:lpstr>
      <vt:lpstr>DataMar2021</vt:lpstr>
      <vt:lpstr>DataMarch2022</vt:lpstr>
      <vt:lpstr>LeakLocaterPrem2</vt:lpstr>
      <vt:lpstr>LeakLocaterPremium</vt:lpstr>
      <vt:lpstr>ShiftIncrPerc2020</vt:lpstr>
      <vt:lpstr>ShiftIncrPerc2020v2</vt:lpstr>
      <vt:lpstr>ShiftIncrPerc2021</vt:lpstr>
      <vt:lpstr>ShiftIncrPerc2021v2</vt:lpstr>
      <vt:lpstr>ShiftIncrPerc2022</vt:lpstr>
      <vt:lpstr>ShiftIncrPerc2022v2</vt:lpstr>
      <vt:lpstr>ShoePremium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Water Maintenance CAW Salary Schedule. From 2023-2025 Posted 07-12-2024</dc:title>
  <dc:creator>City of Minneapolis Human Resources, Classification and Compensation; Howatt, Erick S</dc:creator>
  <cp:lastModifiedBy>Miller, Brenda (she/her/hers)</cp:lastModifiedBy>
  <cp:lastPrinted>2019-06-27T20:05:42Z</cp:lastPrinted>
  <dcterms:created xsi:type="dcterms:W3CDTF">2019-06-20T17:46:27Z</dcterms:created>
  <dcterms:modified xsi:type="dcterms:W3CDTF">2025-10-29T16:52:29Z</dcterms:modified>
</cp:coreProperties>
</file>