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M:\Human Resources\LABOR\1 (CPT) IATSE 13\Salary Schedules\"/>
    </mc:Choice>
  </mc:AlternateContent>
  <xr:revisionPtr revIDLastSave="0" documentId="13_ncr:1_{E8A26792-04EC-458F-A54D-88F73B69B085}" xr6:coauthVersionLast="47" xr6:coauthVersionMax="47" xr10:uidLastSave="{00000000-0000-0000-0000-000000000000}"/>
  <workbookProtection lockStructure="1"/>
  <bookViews>
    <workbookView xWindow="-28920" yWindow="-3765" windowWidth="29040" windowHeight="15720" firstSheet="10" activeTab="10" xr2:uid="{00000000-000D-0000-FFFF-FFFF00000000}"/>
  </bookViews>
  <sheets>
    <sheet name="Sal Grd proof" sheetId="2" state="hidden" r:id="rId1"/>
    <sheet name="January 1 2017" sheetId="1" state="hidden" r:id="rId2"/>
    <sheet name="January 1 &amp; July 1 2018" sheetId="3" state="hidden" r:id="rId3"/>
    <sheet name="January 1 2019" sheetId="4" state="hidden" r:id="rId4"/>
    <sheet name="2020" sheetId="5" state="hidden" r:id="rId5"/>
    <sheet name="2021" sheetId="8" state="hidden" r:id="rId6"/>
    <sheet name="2022" sheetId="9" state="hidden" r:id="rId7"/>
    <sheet name="2023" sheetId="10" state="hidden" r:id="rId8"/>
    <sheet name="2024" sheetId="12" state="hidden" r:id="rId9"/>
    <sheet name="2025" sheetId="13" state="hidden" r:id="rId10"/>
    <sheet name="2026" sheetId="14" r:id="rId11"/>
    <sheet name="2027" sheetId="15" r:id="rId12"/>
    <sheet name="2028" sheetId="16" r:id="rId13"/>
    <sheet name="Notes" sheetId="6" state="hidden" r:id="rId14"/>
  </sheets>
  <definedNames>
    <definedName name="_xlnm._FilterDatabase" localSheetId="12" hidden="1">'2028'!$A$8:$Z$8</definedName>
    <definedName name="Incr2020">'2020'!$M$1</definedName>
    <definedName name="Incr2021">'2021'!$N$1</definedName>
    <definedName name="Incr2022">'2022'!$O$1</definedName>
    <definedName name="Incr2023">'2023'!$P$2</definedName>
    <definedName name="Incr2024">'2024'!$P$2</definedName>
    <definedName name="Incr2025">'2025'!$P$2</definedName>
    <definedName name="Incr2026" localSheetId="10">'2026'!$P$2</definedName>
    <definedName name="Incr2027" localSheetId="11">'2027'!$P$2</definedName>
    <definedName name="Incr2028" localSheetId="12">'2028'!$P$2</definedName>
    <definedName name="IncrStageHands2023">'2023'!$P$3</definedName>
    <definedName name="IncrStageHands2024">'2024'!$P$3</definedName>
    <definedName name="IncrStageHands2025">'2025'!$P$3</definedName>
    <definedName name="IncrStageHands2026" localSheetId="10">'2026'!$P$3</definedName>
    <definedName name="IncrStageHands2027" localSheetId="11">'2027'!$P$3</definedName>
    <definedName name="IncrStageHands2028" localSheetId="12">'2028'!$P$3</definedName>
    <definedName name="Jan2021Rates">'2021'!$N$1:$P$36</definedName>
    <definedName name="January2019">'January 1 2019'!$C$7:$I$38</definedName>
    <definedName name="January2020">'2020'!$C$7:$I$36</definedName>
    <definedName name="January2021">'2021'!$C$7:$J$36</definedName>
    <definedName name="_xlnm.Print_Area" localSheetId="2">'January 1 &amp; July 1 2018'!$A$1:$J$53</definedName>
    <definedName name="_xlnm.Print_Area" localSheetId="1">'January 1 2017'!$A$1:$J$50</definedName>
    <definedName name="Rates2022">'2022'!$N:$P</definedName>
    <definedName name="Rates2023">'2023'!$N:$Q</definedName>
    <definedName name="Rates2024">'2024'!$N:$Q</definedName>
    <definedName name="Rates2025">'2025'!$N:$Q</definedName>
    <definedName name="Rates2026">'2026'!$N:$Q</definedName>
    <definedName name="Rates2027">'2027'!$N:$Q</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7" i="14" l="1"/>
  <c r="T77" i="16" l="1"/>
  <c r="S77" i="16"/>
  <c r="R77" i="16"/>
  <c r="T76" i="16"/>
  <c r="S76" i="16"/>
  <c r="R76" i="16"/>
  <c r="T75" i="16"/>
  <c r="S75" i="16"/>
  <c r="R75" i="16"/>
  <c r="T74" i="16"/>
  <c r="S74" i="16"/>
  <c r="R74" i="16"/>
  <c r="T73" i="16"/>
  <c r="S73" i="16"/>
  <c r="R73" i="16"/>
  <c r="T72" i="16"/>
  <c r="S72" i="16"/>
  <c r="R72" i="16"/>
  <c r="T71" i="16"/>
  <c r="S71" i="16"/>
  <c r="R71" i="16"/>
  <c r="T70" i="16"/>
  <c r="S70" i="16"/>
  <c r="R70" i="16"/>
  <c r="T69" i="16"/>
  <c r="S69" i="16"/>
  <c r="R69" i="16"/>
  <c r="T68" i="16"/>
  <c r="S68" i="16"/>
  <c r="R68" i="16"/>
  <c r="T67" i="16"/>
  <c r="S67" i="16"/>
  <c r="R67" i="16"/>
  <c r="T66" i="16"/>
  <c r="S66" i="16"/>
  <c r="R66" i="16"/>
  <c r="T65" i="16"/>
  <c r="S65" i="16"/>
  <c r="R65" i="16"/>
  <c r="T64" i="16"/>
  <c r="S64" i="16"/>
  <c r="R64" i="16"/>
  <c r="T63" i="16"/>
  <c r="S63" i="16"/>
  <c r="R63" i="16"/>
  <c r="V60" i="16"/>
  <c r="R60" i="16"/>
  <c r="A60" i="16"/>
  <c r="A56" i="16"/>
  <c r="V55" i="16"/>
  <c r="R55" i="16"/>
  <c r="A55" i="16"/>
  <c r="S43" i="16"/>
  <c r="R43" i="16"/>
  <c r="S41" i="16"/>
  <c r="R41" i="16"/>
  <c r="S40" i="16"/>
  <c r="R40" i="16"/>
  <c r="S39" i="16"/>
  <c r="R39" i="16"/>
  <c r="S38" i="16"/>
  <c r="N38" i="16"/>
  <c r="R38" i="16" s="1"/>
  <c r="A36" i="16"/>
  <c r="S34" i="16"/>
  <c r="R34" i="16"/>
  <c r="S33" i="16"/>
  <c r="R33" i="16"/>
  <c r="S32" i="16"/>
  <c r="R32" i="16"/>
  <c r="S31" i="16"/>
  <c r="R31" i="16"/>
  <c r="T27" i="16"/>
  <c r="S27" i="16"/>
  <c r="R27" i="16"/>
  <c r="T24" i="16"/>
  <c r="S24" i="16"/>
  <c r="R24" i="16"/>
  <c r="T23" i="16"/>
  <c r="S23" i="16"/>
  <c r="R23" i="16"/>
  <c r="T21" i="16"/>
  <c r="S21" i="16"/>
  <c r="R21" i="16"/>
  <c r="T16" i="16"/>
  <c r="S16" i="16"/>
  <c r="R16" i="16"/>
  <c r="T12" i="16"/>
  <c r="S12" i="16"/>
  <c r="R12" i="16"/>
  <c r="U10" i="16"/>
  <c r="T10" i="16"/>
  <c r="S10" i="16"/>
  <c r="R10" i="16"/>
  <c r="N10" i="16"/>
  <c r="U9" i="16"/>
  <c r="T9" i="16"/>
  <c r="S9" i="16"/>
  <c r="N9" i="16"/>
  <c r="R9" i="16" s="1"/>
  <c r="T77" i="15"/>
  <c r="S77" i="15"/>
  <c r="R77" i="15"/>
  <c r="T76" i="15"/>
  <c r="S76" i="15"/>
  <c r="R76" i="15"/>
  <c r="T75" i="15"/>
  <c r="S75" i="15"/>
  <c r="R75" i="15"/>
  <c r="T74" i="15"/>
  <c r="S74" i="15"/>
  <c r="R74" i="15"/>
  <c r="T73" i="15"/>
  <c r="S73" i="15"/>
  <c r="R73" i="15"/>
  <c r="T72" i="15"/>
  <c r="S72" i="15"/>
  <c r="R72" i="15"/>
  <c r="T71" i="15"/>
  <c r="S71" i="15"/>
  <c r="R71" i="15"/>
  <c r="T70" i="15"/>
  <c r="S70" i="15"/>
  <c r="R70" i="15"/>
  <c r="T69" i="15"/>
  <c r="S69" i="15"/>
  <c r="R69" i="15"/>
  <c r="T68" i="15"/>
  <c r="S68" i="15"/>
  <c r="R68" i="15"/>
  <c r="T67" i="15"/>
  <c r="S67" i="15"/>
  <c r="R67" i="15"/>
  <c r="T66" i="15"/>
  <c r="S66" i="15"/>
  <c r="R66" i="15"/>
  <c r="T65" i="15"/>
  <c r="S65" i="15"/>
  <c r="R65" i="15"/>
  <c r="T64" i="15"/>
  <c r="S64" i="15"/>
  <c r="R64" i="15"/>
  <c r="T63" i="15"/>
  <c r="S63" i="15"/>
  <c r="R63" i="15"/>
  <c r="V60" i="15"/>
  <c r="R60" i="15"/>
  <c r="A60" i="15"/>
  <c r="A56" i="15"/>
  <c r="V55" i="15"/>
  <c r="R55" i="15"/>
  <c r="A55" i="15"/>
  <c r="S43" i="15"/>
  <c r="R43" i="15"/>
  <c r="S41" i="15"/>
  <c r="R41" i="15"/>
  <c r="S40" i="15"/>
  <c r="R40" i="15"/>
  <c r="S39" i="15"/>
  <c r="R39" i="15"/>
  <c r="S38" i="15"/>
  <c r="N38" i="15"/>
  <c r="R38" i="15" s="1"/>
  <c r="A36" i="15"/>
  <c r="S34" i="15"/>
  <c r="R34" i="15"/>
  <c r="S33" i="15"/>
  <c r="R33" i="15"/>
  <c r="S32" i="15"/>
  <c r="R32" i="15"/>
  <c r="S31" i="15"/>
  <c r="R31" i="15"/>
  <c r="T27" i="15"/>
  <c r="S27" i="15"/>
  <c r="R27" i="15"/>
  <c r="T24" i="15"/>
  <c r="S24" i="15"/>
  <c r="R24" i="15"/>
  <c r="T23" i="15"/>
  <c r="S23" i="15"/>
  <c r="R23" i="15"/>
  <c r="T21" i="15"/>
  <c r="S21" i="15"/>
  <c r="R21" i="15"/>
  <c r="T16" i="15"/>
  <c r="S16" i="15"/>
  <c r="R16" i="15"/>
  <c r="T12" i="15"/>
  <c r="S12" i="15"/>
  <c r="R12" i="15"/>
  <c r="U10" i="15"/>
  <c r="T10" i="15"/>
  <c r="S10" i="15"/>
  <c r="N10" i="15"/>
  <c r="R10" i="15" s="1"/>
  <c r="U9" i="15"/>
  <c r="T9" i="15"/>
  <c r="S9" i="15"/>
  <c r="R9" i="15"/>
  <c r="N9" i="15"/>
  <c r="T77" i="14" l="1"/>
  <c r="S77" i="14"/>
  <c r="R77" i="14"/>
  <c r="T76" i="14"/>
  <c r="S76" i="14"/>
  <c r="R76" i="14"/>
  <c r="T75" i="14"/>
  <c r="S75" i="14"/>
  <c r="R75" i="14"/>
  <c r="T74" i="14"/>
  <c r="S74" i="14"/>
  <c r="R74" i="14"/>
  <c r="T73" i="14"/>
  <c r="S73" i="14"/>
  <c r="R73" i="14"/>
  <c r="T72" i="14"/>
  <c r="S72" i="14"/>
  <c r="R72" i="14"/>
  <c r="T71" i="14"/>
  <c r="S71" i="14"/>
  <c r="R71" i="14"/>
  <c r="T70" i="14"/>
  <c r="S70" i="14"/>
  <c r="R70" i="14"/>
  <c r="T69" i="14"/>
  <c r="S69" i="14"/>
  <c r="R69" i="14"/>
  <c r="T68" i="14"/>
  <c r="S68" i="14"/>
  <c r="R68" i="14"/>
  <c r="T67" i="14"/>
  <c r="S67" i="14"/>
  <c r="R67" i="14"/>
  <c r="T66" i="14"/>
  <c r="S66" i="14"/>
  <c r="R66" i="14"/>
  <c r="T65" i="14"/>
  <c r="S65" i="14"/>
  <c r="R65" i="14"/>
  <c r="T64" i="14"/>
  <c r="S64" i="14"/>
  <c r="R64" i="14"/>
  <c r="T63" i="14"/>
  <c r="S63" i="14"/>
  <c r="R63" i="14"/>
  <c r="V60" i="14"/>
  <c r="R60" i="14"/>
  <c r="A60" i="14"/>
  <c r="A56" i="14"/>
  <c r="V55" i="14"/>
  <c r="R55" i="14"/>
  <c r="A55" i="14"/>
  <c r="S43" i="14"/>
  <c r="R43" i="14"/>
  <c r="S41" i="14"/>
  <c r="R41" i="14"/>
  <c r="S40" i="14"/>
  <c r="R40" i="14"/>
  <c r="S39" i="14"/>
  <c r="R39" i="14"/>
  <c r="S38" i="14"/>
  <c r="N38" i="14"/>
  <c r="R38" i="14" s="1"/>
  <c r="A36" i="14"/>
  <c r="S34" i="14"/>
  <c r="R34" i="14"/>
  <c r="S33" i="14"/>
  <c r="R33" i="14"/>
  <c r="S32" i="14"/>
  <c r="R32" i="14"/>
  <c r="S31" i="14"/>
  <c r="R31" i="14"/>
  <c r="T27" i="14"/>
  <c r="S27" i="14"/>
  <c r="R27" i="14"/>
  <c r="T24" i="14"/>
  <c r="S24" i="14"/>
  <c r="R24" i="14"/>
  <c r="T23" i="14"/>
  <c r="S23" i="14"/>
  <c r="R23" i="14"/>
  <c r="T21" i="14"/>
  <c r="S21" i="14"/>
  <c r="R21" i="14"/>
  <c r="T16" i="14"/>
  <c r="S16" i="14"/>
  <c r="R16" i="14"/>
  <c r="T12" i="14"/>
  <c r="S12" i="14"/>
  <c r="R12" i="14"/>
  <c r="U10" i="14"/>
  <c r="T10" i="14"/>
  <c r="S10" i="14"/>
  <c r="N10" i="14"/>
  <c r="R10" i="14" s="1"/>
  <c r="U9" i="14"/>
  <c r="T9" i="14"/>
  <c r="S9" i="14"/>
  <c r="N9" i="14"/>
  <c r="R9" i="14" s="1"/>
  <c r="R73" i="13"/>
  <c r="S73" i="13"/>
  <c r="T73" i="13"/>
  <c r="R74" i="13"/>
  <c r="S74" i="13"/>
  <c r="T74" i="13"/>
  <c r="R75" i="13"/>
  <c r="S75" i="13"/>
  <c r="T75" i="13"/>
  <c r="R72" i="12"/>
  <c r="S72" i="12"/>
  <c r="T72" i="12"/>
  <c r="R73" i="12"/>
  <c r="S73" i="12"/>
  <c r="T73" i="12"/>
  <c r="R74" i="12"/>
  <c r="S74" i="12"/>
  <c r="T74" i="12"/>
  <c r="T73" i="10"/>
  <c r="T74" i="10"/>
  <c r="T75" i="10"/>
  <c r="R75" i="10"/>
  <c r="R74" i="10"/>
  <c r="R73" i="10"/>
  <c r="A36" i="10"/>
  <c r="A36" i="12"/>
  <c r="A36" i="13"/>
  <c r="A7" i="10"/>
  <c r="A7" i="12"/>
  <c r="A7" i="13"/>
  <c r="A52" i="12" l="1"/>
  <c r="R52" i="12"/>
  <c r="V52" i="12"/>
  <c r="V57" i="12"/>
  <c r="R57" i="12"/>
  <c r="V58" i="13"/>
  <c r="R58" i="13"/>
  <c r="V58" i="10"/>
  <c r="R58" i="10"/>
  <c r="V53" i="13"/>
  <c r="V53" i="10"/>
  <c r="R53" i="13"/>
  <c r="R53" i="10"/>
  <c r="T16" i="10"/>
  <c r="T16" i="12"/>
  <c r="T16" i="13"/>
  <c r="S16" i="10"/>
  <c r="S16" i="12"/>
  <c r="S16" i="13"/>
  <c r="R16" i="10"/>
  <c r="R16" i="12"/>
  <c r="R16" i="13"/>
  <c r="T72" i="13"/>
  <c r="S72" i="13"/>
  <c r="R72" i="13"/>
  <c r="T71" i="13"/>
  <c r="S71" i="13"/>
  <c r="R71" i="13"/>
  <c r="T70" i="13"/>
  <c r="S70" i="13"/>
  <c r="R70" i="13"/>
  <c r="T69" i="13"/>
  <c r="S69" i="13"/>
  <c r="R69" i="13"/>
  <c r="T68" i="13"/>
  <c r="S68" i="13"/>
  <c r="R68" i="13"/>
  <c r="T67" i="13"/>
  <c r="S67" i="13"/>
  <c r="R67" i="13"/>
  <c r="T66" i="13"/>
  <c r="S66" i="13"/>
  <c r="R66" i="13"/>
  <c r="T65" i="13"/>
  <c r="S65" i="13"/>
  <c r="R65" i="13"/>
  <c r="T64" i="13"/>
  <c r="S64" i="13"/>
  <c r="R64" i="13"/>
  <c r="T63" i="13"/>
  <c r="S63" i="13"/>
  <c r="R63" i="13"/>
  <c r="T62" i="13"/>
  <c r="S62" i="13"/>
  <c r="R62" i="13"/>
  <c r="T61" i="13"/>
  <c r="S61" i="13"/>
  <c r="R61" i="13"/>
  <c r="A58" i="13"/>
  <c r="A54" i="13"/>
  <c r="A53" i="13"/>
  <c r="S43" i="13"/>
  <c r="R43" i="13"/>
  <c r="S41" i="13"/>
  <c r="R41" i="13"/>
  <c r="S40" i="13"/>
  <c r="R40" i="13"/>
  <c r="S39" i="13"/>
  <c r="R39" i="13"/>
  <c r="S38" i="13"/>
  <c r="N38" i="13"/>
  <c r="R38" i="13" s="1"/>
  <c r="S34" i="13"/>
  <c r="R34" i="13"/>
  <c r="S33" i="13"/>
  <c r="R33" i="13"/>
  <c r="S32" i="13"/>
  <c r="R32" i="13"/>
  <c r="S31" i="13"/>
  <c r="R31" i="13"/>
  <c r="T27" i="13"/>
  <c r="S27" i="13"/>
  <c r="R27" i="13"/>
  <c r="T24" i="13"/>
  <c r="S24" i="13"/>
  <c r="R24" i="13"/>
  <c r="T23" i="13"/>
  <c r="S23" i="13"/>
  <c r="R23" i="13"/>
  <c r="T21" i="13"/>
  <c r="S21" i="13"/>
  <c r="R21" i="13"/>
  <c r="T12" i="13"/>
  <c r="S12" i="13"/>
  <c r="R12" i="13"/>
  <c r="U10" i="13"/>
  <c r="T10" i="13"/>
  <c r="S10" i="13"/>
  <c r="N10" i="13"/>
  <c r="U9" i="13"/>
  <c r="T9" i="13"/>
  <c r="S9" i="13"/>
  <c r="N9" i="13"/>
  <c r="R9" i="13" s="1"/>
  <c r="R10" i="13" l="1"/>
  <c r="R21" i="10"/>
  <c r="S21" i="10"/>
  <c r="T21" i="10"/>
  <c r="T71" i="12"/>
  <c r="S71" i="12"/>
  <c r="R71" i="12"/>
  <c r="T70" i="12"/>
  <c r="S70" i="12"/>
  <c r="R70" i="12"/>
  <c r="T69" i="12"/>
  <c r="S69" i="12"/>
  <c r="R69" i="12"/>
  <c r="T68" i="12"/>
  <c r="S68" i="12"/>
  <c r="R68" i="12"/>
  <c r="T67" i="12"/>
  <c r="S67" i="12"/>
  <c r="R67" i="12"/>
  <c r="T66" i="12"/>
  <c r="S66" i="12"/>
  <c r="R66" i="12"/>
  <c r="T65" i="12"/>
  <c r="S65" i="12"/>
  <c r="R65" i="12"/>
  <c r="T64" i="12"/>
  <c r="S64" i="12"/>
  <c r="R64" i="12"/>
  <c r="T63" i="12"/>
  <c r="S63" i="12"/>
  <c r="R63" i="12"/>
  <c r="T62" i="12"/>
  <c r="S62" i="12"/>
  <c r="R62" i="12"/>
  <c r="T61" i="12"/>
  <c r="S61" i="12"/>
  <c r="R61" i="12"/>
  <c r="T60" i="12"/>
  <c r="S60" i="12"/>
  <c r="R60" i="12"/>
  <c r="A57" i="12"/>
  <c r="A53" i="12"/>
  <c r="S43" i="12"/>
  <c r="R43" i="12"/>
  <c r="S41" i="12"/>
  <c r="R41" i="12"/>
  <c r="S40" i="12"/>
  <c r="R40" i="12"/>
  <c r="S39" i="12"/>
  <c r="R39" i="12"/>
  <c r="S38" i="12"/>
  <c r="N38" i="12"/>
  <c r="R38" i="12" s="1"/>
  <c r="S34" i="12"/>
  <c r="R34" i="12"/>
  <c r="S33" i="12"/>
  <c r="R33" i="12"/>
  <c r="S32" i="12"/>
  <c r="R32" i="12"/>
  <c r="S31" i="12"/>
  <c r="R31" i="12"/>
  <c r="T27" i="12"/>
  <c r="S27" i="12"/>
  <c r="R27" i="12"/>
  <c r="T24" i="12"/>
  <c r="S24" i="12"/>
  <c r="R24" i="12"/>
  <c r="T23" i="12"/>
  <c r="S23" i="12"/>
  <c r="R23" i="12"/>
  <c r="T21" i="12"/>
  <c r="S21" i="12"/>
  <c r="R21" i="12"/>
  <c r="T12" i="12"/>
  <c r="S12" i="12"/>
  <c r="R12" i="12"/>
  <c r="U10" i="12"/>
  <c r="T10" i="12"/>
  <c r="S10" i="12"/>
  <c r="N10" i="12"/>
  <c r="R10" i="12" s="1"/>
  <c r="U9" i="12"/>
  <c r="T9" i="12"/>
  <c r="S9" i="12"/>
  <c r="N9" i="12"/>
  <c r="A54" i="10"/>
  <c r="A53" i="10"/>
  <c r="A58" i="10"/>
  <c r="T72" i="10"/>
  <c r="S72" i="10"/>
  <c r="R72" i="10"/>
  <c r="T71" i="10"/>
  <c r="S71" i="10"/>
  <c r="R71" i="10"/>
  <c r="T70" i="10"/>
  <c r="S70" i="10"/>
  <c r="R70" i="10"/>
  <c r="T69" i="10"/>
  <c r="S69" i="10"/>
  <c r="R69" i="10"/>
  <c r="T68" i="10"/>
  <c r="S68" i="10"/>
  <c r="R68" i="10"/>
  <c r="T67" i="10"/>
  <c r="S67" i="10"/>
  <c r="R67" i="10"/>
  <c r="T66" i="10"/>
  <c r="S66" i="10"/>
  <c r="R66" i="10"/>
  <c r="T65" i="10"/>
  <c r="S65" i="10"/>
  <c r="R65" i="10"/>
  <c r="T64" i="10"/>
  <c r="S64" i="10"/>
  <c r="R64" i="10"/>
  <c r="T63" i="10"/>
  <c r="S63" i="10"/>
  <c r="R63" i="10"/>
  <c r="T62" i="10"/>
  <c r="S62" i="10"/>
  <c r="R62" i="10"/>
  <c r="T61" i="10"/>
  <c r="S61" i="10"/>
  <c r="R61" i="10"/>
  <c r="S43" i="10"/>
  <c r="R43" i="10"/>
  <c r="S41" i="10"/>
  <c r="R41" i="10"/>
  <c r="S40" i="10"/>
  <c r="R40" i="10"/>
  <c r="S39" i="10"/>
  <c r="R39" i="10"/>
  <c r="S38" i="10"/>
  <c r="S34" i="10"/>
  <c r="R34" i="10"/>
  <c r="S33" i="10"/>
  <c r="R33" i="10"/>
  <c r="S32" i="10"/>
  <c r="R32" i="10"/>
  <c r="S31" i="10"/>
  <c r="R31" i="10"/>
  <c r="T27" i="10"/>
  <c r="S27" i="10"/>
  <c r="R27" i="10"/>
  <c r="T24" i="10"/>
  <c r="S24" i="10"/>
  <c r="R24" i="10"/>
  <c r="T23" i="10"/>
  <c r="S23" i="10"/>
  <c r="R23" i="10"/>
  <c r="T12" i="10"/>
  <c r="S10" i="10"/>
  <c r="T10" i="10"/>
  <c r="R12" i="10"/>
  <c r="S12" i="10"/>
  <c r="T9" i="10"/>
  <c r="S9" i="10"/>
  <c r="U10" i="10"/>
  <c r="U9" i="10"/>
  <c r="N38" i="10"/>
  <c r="R38" i="10" s="1"/>
  <c r="N10" i="10"/>
  <c r="R10" i="10" s="1"/>
  <c r="N9" i="10"/>
  <c r="H42" i="5" a="1"/>
  <c r="R9" i="12" l="1"/>
  <c r="R9" i="10"/>
  <c r="H42" i="5"/>
  <c r="N31" i="9"/>
  <c r="N8" i="9"/>
  <c r="N7" i="9"/>
  <c r="O31" i="8" l="1"/>
  <c r="N31" i="8"/>
  <c r="N8" i="8"/>
  <c r="N7" i="8"/>
  <c r="R20" i="8" l="1"/>
  <c r="R16" i="8"/>
  <c r="R14" i="8"/>
  <c r="O20" i="5"/>
  <c r="A20" i="5" s="1"/>
  <c r="O16" i="5"/>
  <c r="O14" i="5"/>
  <c r="A14" i="5" s="1"/>
  <c r="P20" i="5"/>
  <c r="P16" i="5"/>
  <c r="P14" i="5"/>
  <c r="A16" i="5" l="1"/>
  <c r="O17" i="5"/>
  <c r="P14" i="8"/>
  <c r="P20" i="8"/>
  <c r="P16" i="8"/>
  <c r="H10" i="3"/>
  <c r="P20" i="9" l="1"/>
  <c r="P17" i="8"/>
  <c r="P16" i="9"/>
  <c r="P14" i="9"/>
  <c r="A16" i="8"/>
  <c r="A20" i="8"/>
  <c r="A14" i="8"/>
  <c r="Q20" i="4"/>
  <c r="Q16" i="4"/>
  <c r="Q14" i="4"/>
  <c r="Q20" i="3"/>
  <c r="Q16" i="3"/>
  <c r="Q14" i="3"/>
  <c r="B27" i="3"/>
  <c r="B27" i="4" s="1"/>
  <c r="B27" i="5" s="1"/>
  <c r="B26" i="3"/>
  <c r="B26" i="4" s="1"/>
  <c r="B26" i="5" s="1"/>
  <c r="B25" i="3"/>
  <c r="B25" i="4" s="1"/>
  <c r="B25" i="5" s="1"/>
  <c r="B24" i="3"/>
  <c r="B24" i="4" s="1"/>
  <c r="B24" i="5" s="1"/>
  <c r="H39" i="3"/>
  <c r="H39" i="4" s="1"/>
  <c r="H36" i="5" s="1"/>
  <c r="H36" i="8" s="1"/>
  <c r="H37" i="3"/>
  <c r="H37" i="4" s="1"/>
  <c r="H34" i="5" s="1"/>
  <c r="H34" i="8" s="1"/>
  <c r="H36" i="3"/>
  <c r="H36" i="4" s="1"/>
  <c r="H33" i="5" s="1"/>
  <c r="H33" i="8" s="1"/>
  <c r="H35" i="3"/>
  <c r="H35" i="4" s="1"/>
  <c r="H32" i="5" s="1"/>
  <c r="H32" i="8" s="1"/>
  <c r="I34" i="3"/>
  <c r="H10" i="4"/>
  <c r="H10" i="5" s="1"/>
  <c r="H8" i="3"/>
  <c r="H8" i="4" s="1"/>
  <c r="H8" i="5" s="1"/>
  <c r="H8" i="8" s="1"/>
  <c r="H7" i="3"/>
  <c r="H7" i="4" s="1"/>
  <c r="H7" i="5" s="1"/>
  <c r="H7" i="8" s="1"/>
  <c r="Q21" i="10" a="1"/>
  <c r="Q23" i="10" a="1"/>
  <c r="Q27" i="10" a="1"/>
  <c r="Q21" i="10" l="1"/>
  <c r="Q23" i="10"/>
  <c r="Q27" i="10"/>
  <c r="A14" i="9"/>
  <c r="A16" i="9"/>
  <c r="A20" i="9"/>
  <c r="P17" i="9"/>
  <c r="B27" i="8"/>
  <c r="P27" i="8" s="1"/>
  <c r="O27" i="5"/>
  <c r="B25" i="8"/>
  <c r="P25" i="8" s="1"/>
  <c r="O25" i="5"/>
  <c r="B26" i="8"/>
  <c r="P26" i="8" s="1"/>
  <c r="O26" i="5"/>
  <c r="B24" i="8"/>
  <c r="O24" i="5"/>
  <c r="P7" i="8"/>
  <c r="P8" i="8"/>
  <c r="H10" i="8"/>
  <c r="O10" i="5"/>
  <c r="I36" i="3"/>
  <c r="I37" i="3"/>
  <c r="I39" i="3"/>
  <c r="I34" i="4"/>
  <c r="I35" i="3"/>
  <c r="Q21" i="12" a="1"/>
  <c r="Q27" i="12" a="1"/>
  <c r="Q23" i="12" a="1"/>
  <c r="Q24" i="10" a="1"/>
  <c r="A21" i="10" l="1"/>
  <c r="V21" i="10"/>
  <c r="A27" i="10"/>
  <c r="A23" i="10"/>
  <c r="Q27" i="12"/>
  <c r="Q23" i="12"/>
  <c r="Q21" i="12"/>
  <c r="Q24" i="10"/>
  <c r="V27" i="10"/>
  <c r="V23" i="10"/>
  <c r="P26" i="9"/>
  <c r="P8" i="9"/>
  <c r="P7" i="9"/>
  <c r="P25" i="9"/>
  <c r="P27" i="9"/>
  <c r="P24" i="8"/>
  <c r="P10" i="8"/>
  <c r="I35" i="4"/>
  <c r="I31" i="5"/>
  <c r="I37" i="4"/>
  <c r="I39" i="4"/>
  <c r="I36" i="4"/>
  <c r="Q34" i="10" a="1"/>
  <c r="Q10" i="10" a="1"/>
  <c r="Q9" i="10" a="1"/>
  <c r="Q27" i="13" a="1"/>
  <c r="Q23" i="13" a="1"/>
  <c r="Q32" i="10" a="1"/>
  <c r="Q21" i="13" a="1"/>
  <c r="Q33" i="10" a="1"/>
  <c r="Q24" i="12" a="1"/>
  <c r="Q21" i="13" l="1"/>
  <c r="Q23" i="13"/>
  <c r="Q27" i="13"/>
  <c r="V21" i="12"/>
  <c r="A21" i="12"/>
  <c r="V23" i="12"/>
  <c r="A23" i="12"/>
  <c r="V27" i="12"/>
  <c r="A27" i="12"/>
  <c r="Q24" i="12"/>
  <c r="V24" i="10"/>
  <c r="Q9" i="10"/>
  <c r="Q10" i="10"/>
  <c r="Q32" i="10"/>
  <c r="Q33" i="10"/>
  <c r="Q34" i="10"/>
  <c r="H7" i="9"/>
  <c r="H8" i="9"/>
  <c r="B25" i="9"/>
  <c r="B26" i="9"/>
  <c r="B27" i="9"/>
  <c r="P24" i="9"/>
  <c r="P10" i="9"/>
  <c r="H10" i="9" s="1"/>
  <c r="I31" i="8"/>
  <c r="I36" i="5"/>
  <c r="I32" i="5"/>
  <c r="I34" i="5"/>
  <c r="I33" i="5"/>
  <c r="Q9" i="12" a="1"/>
  <c r="Q34" i="12" a="1"/>
  <c r="Q31" i="10" a="1"/>
  <c r="Q33" i="12" a="1"/>
  <c r="Q24" i="13" a="1"/>
  <c r="Q21" i="14" a="1"/>
  <c r="Q12" i="10" a="1"/>
  <c r="Q23" i="14" a="1"/>
  <c r="Q10" i="12" a="1"/>
  <c r="Q32" i="12" a="1"/>
  <c r="Q23" i="14" l="1"/>
  <c r="Q21" i="14"/>
  <c r="A27" i="13"/>
  <c r="A23" i="13"/>
  <c r="A21" i="13"/>
  <c r="V23" i="13"/>
  <c r="V21" i="13"/>
  <c r="V27" i="13"/>
  <c r="Q24" i="13"/>
  <c r="V24" i="12"/>
  <c r="Q34" i="12"/>
  <c r="Q33" i="12"/>
  <c r="Q32" i="12"/>
  <c r="Q10" i="12"/>
  <c r="Q9" i="12"/>
  <c r="Q12" i="10"/>
  <c r="Q16" i="10" s="1"/>
  <c r="Q31" i="10"/>
  <c r="V32" i="10"/>
  <c r="B32" i="10"/>
  <c r="V10" i="10"/>
  <c r="H10" i="10"/>
  <c r="V9" i="10"/>
  <c r="H9" i="10"/>
  <c r="B24" i="9"/>
  <c r="V34" i="10"/>
  <c r="B34" i="10"/>
  <c r="V33" i="10"/>
  <c r="B33" i="10"/>
  <c r="P31" i="8"/>
  <c r="I34" i="8"/>
  <c r="P34" i="8" s="1"/>
  <c r="I36" i="8"/>
  <c r="P36" i="8" s="1"/>
  <c r="I33" i="8"/>
  <c r="P33" i="8" s="1"/>
  <c r="I32" i="8"/>
  <c r="P32" i="8" s="1"/>
  <c r="Q9" i="13" a="1"/>
  <c r="Q33" i="13" a="1"/>
  <c r="Q24" i="14" a="1"/>
  <c r="Q21" i="15" a="1"/>
  <c r="Q10" i="13" a="1"/>
  <c r="Q32" i="13" a="1"/>
  <c r="Q27" i="15" a="1"/>
  <c r="Q31" i="12" a="1"/>
  <c r="Q23" i="15" a="1"/>
  <c r="Q16" i="12" a="1"/>
  <c r="Q34" i="13" a="1"/>
  <c r="Q12" i="12" a="1"/>
  <c r="Q21" i="15" l="1"/>
  <c r="Q23" i="15"/>
  <c r="Q27" i="15"/>
  <c r="A21" i="14"/>
  <c r="A23" i="14"/>
  <c r="V27" i="14"/>
  <c r="V21" i="14"/>
  <c r="V23" i="14"/>
  <c r="Q24" i="14"/>
  <c r="V24" i="13"/>
  <c r="Q16" i="12"/>
  <c r="V16" i="10"/>
  <c r="H16" i="10"/>
  <c r="Q9" i="13"/>
  <c r="Q33" i="13"/>
  <c r="Q34" i="13"/>
  <c r="Q32" i="13"/>
  <c r="Q10" i="13"/>
  <c r="V9" i="12"/>
  <c r="B33" i="12"/>
  <c r="V34" i="12"/>
  <c r="V32" i="12"/>
  <c r="V10" i="12"/>
  <c r="H12" i="10"/>
  <c r="Q31" i="12"/>
  <c r="Q12" i="12"/>
  <c r="B34" i="12"/>
  <c r="B32" i="12"/>
  <c r="V33" i="12"/>
  <c r="V12" i="10"/>
  <c r="H10" i="12"/>
  <c r="H9" i="12"/>
  <c r="V31" i="10"/>
  <c r="B31" i="10"/>
  <c r="P32" i="9"/>
  <c r="P33" i="9"/>
  <c r="P34" i="9"/>
  <c r="P36" i="9"/>
  <c r="P31" i="9"/>
  <c r="Q41" i="10" a="1"/>
  <c r="Q9" i="14" a="1"/>
  <c r="Q24" i="15" a="1"/>
  <c r="Q32" i="14" a="1"/>
  <c r="Q21" i="16" a="1"/>
  <c r="Q12" i="13" a="1"/>
  <c r="Q23" i="16" a="1"/>
  <c r="Q27" i="16" a="1"/>
  <c r="Q16" i="13" a="1"/>
  <c r="Q38" i="10" a="1"/>
  <c r="Q31" i="13" a="1"/>
  <c r="Q40" i="10" a="1"/>
  <c r="Q10" i="14" a="1"/>
  <c r="Q34" i="14" a="1"/>
  <c r="Q43" i="10" a="1"/>
  <c r="Q33" i="14" a="1"/>
  <c r="Q39" i="10" a="1"/>
  <c r="Q27" i="16" l="1"/>
  <c r="A27" i="16" s="1"/>
  <c r="Q23" i="16"/>
  <c r="V23" i="16" s="1"/>
  <c r="Q21" i="16"/>
  <c r="V21" i="16" s="1"/>
  <c r="V27" i="15"/>
  <c r="A23" i="15"/>
  <c r="V21" i="15"/>
  <c r="A21" i="15"/>
  <c r="V23" i="15"/>
  <c r="A27" i="15"/>
  <c r="Q24" i="15"/>
  <c r="V24" i="14"/>
  <c r="Q9" i="14"/>
  <c r="Q10" i="14"/>
  <c r="Q33" i="14"/>
  <c r="Q32" i="14"/>
  <c r="Q34" i="14"/>
  <c r="H9" i="13"/>
  <c r="H10" i="13"/>
  <c r="V33" i="13"/>
  <c r="V32" i="13"/>
  <c r="V34" i="13"/>
  <c r="Q16" i="13"/>
  <c r="H16" i="12"/>
  <c r="V16" i="12"/>
  <c r="V9" i="13"/>
  <c r="B33" i="13"/>
  <c r="V10" i="13"/>
  <c r="B34" i="13"/>
  <c r="Q31" i="13"/>
  <c r="Q12" i="13"/>
  <c r="B31" i="12"/>
  <c r="B32" i="13"/>
  <c r="V12" i="12"/>
  <c r="H12" i="12"/>
  <c r="V31" i="12"/>
  <c r="Q43" i="10"/>
  <c r="Q41" i="10"/>
  <c r="Q40" i="10"/>
  <c r="Q39" i="10"/>
  <c r="Q38" i="10"/>
  <c r="I31" i="9"/>
  <c r="I34" i="9"/>
  <c r="H34" i="9"/>
  <c r="I36" i="9"/>
  <c r="H36" i="9"/>
  <c r="I33" i="9"/>
  <c r="H33" i="9"/>
  <c r="I32" i="9"/>
  <c r="H32" i="9"/>
  <c r="Q16" i="14" a="1"/>
  <c r="Q39" i="12" a="1"/>
  <c r="Q43" i="12" a="1"/>
  <c r="Q34" i="15" a="1"/>
  <c r="Q12" i="14" a="1"/>
  <c r="Q24" i="16" a="1"/>
  <c r="Q41" i="12" a="1"/>
  <c r="Q10" i="15" a="1"/>
  <c r="Q32" i="15" a="1"/>
  <c r="Q38" i="12" a="1"/>
  <c r="Q33" i="15" a="1"/>
  <c r="Q40" i="12" a="1"/>
  <c r="Q9" i="15" a="1"/>
  <c r="Q31" i="14" a="1"/>
  <c r="A23" i="16" l="1"/>
  <c r="A21" i="16"/>
  <c r="V27" i="16"/>
  <c r="Q24" i="16"/>
  <c r="V24" i="16" s="1"/>
  <c r="V24" i="15"/>
  <c r="Q33" i="15"/>
  <c r="Q10" i="15"/>
  <c r="Q9" i="15"/>
  <c r="Q34" i="15"/>
  <c r="Q32" i="15"/>
  <c r="B33" i="14"/>
  <c r="V10" i="14"/>
  <c r="V9" i="14"/>
  <c r="V34" i="14"/>
  <c r="V32" i="14"/>
  <c r="H10" i="14"/>
  <c r="H9" i="14"/>
  <c r="V33" i="14"/>
  <c r="B34" i="14"/>
  <c r="B32" i="14"/>
  <c r="Q16" i="14"/>
  <c r="Q12" i="14"/>
  <c r="Q31" i="14"/>
  <c r="V12" i="13"/>
  <c r="V31" i="13"/>
  <c r="V16" i="13"/>
  <c r="H16" i="13"/>
  <c r="B31" i="13"/>
  <c r="H12" i="13"/>
  <c r="Q43" i="12"/>
  <c r="Q39" i="12"/>
  <c r="Q40" i="12"/>
  <c r="Q41" i="12"/>
  <c r="Q38" i="12"/>
  <c r="V38" i="10"/>
  <c r="I38" i="10"/>
  <c r="P47" i="9"/>
  <c r="P45" i="9"/>
  <c r="P46" i="9"/>
  <c r="P41" i="9"/>
  <c r="P40" i="9"/>
  <c r="P39" i="9"/>
  <c r="P50" i="9"/>
  <c r="P48" i="9"/>
  <c r="P49" i="9"/>
  <c r="P44" i="9"/>
  <c r="P42" i="9"/>
  <c r="P43" i="9"/>
  <c r="Q33" i="16" a="1"/>
  <c r="Q67" i="10" a="1"/>
  <c r="Q71" i="10" a="1"/>
  <c r="Q64" i="10" a="1"/>
  <c r="Q43" i="13" a="1"/>
  <c r="Q34" i="16" a="1"/>
  <c r="Q12" i="15" a="1"/>
  <c r="Q72" i="10" a="1"/>
  <c r="Q32" i="16" a="1"/>
  <c r="Q68" i="10" a="1"/>
  <c r="Q9" i="16" a="1"/>
  <c r="Q16" i="15" a="1"/>
  <c r="Q66" i="10" a="1"/>
  <c r="Q65" i="10" a="1"/>
  <c r="Q41" i="13" a="1"/>
  <c r="Q10" i="16" a="1"/>
  <c r="Q40" i="13" a="1"/>
  <c r="Q31" i="15" a="1"/>
  <c r="Q62" i="10" a="1"/>
  <c r="Q69" i="10" a="1"/>
  <c r="Q61" i="10" a="1"/>
  <c r="Q38" i="13" a="1"/>
  <c r="Q63" i="10" a="1"/>
  <c r="Q39" i="13" a="1"/>
  <c r="Q70" i="10" a="1"/>
  <c r="Q9" i="16" l="1"/>
  <c r="V9" i="16" s="1"/>
  <c r="Q10" i="16"/>
  <c r="V10" i="16" s="1"/>
  <c r="Q33" i="16"/>
  <c r="V33" i="16" s="1"/>
  <c r="Q32" i="16"/>
  <c r="V32" i="16" s="1"/>
  <c r="Q34" i="16"/>
  <c r="V34" i="16" s="1"/>
  <c r="V9" i="15"/>
  <c r="V10" i="15"/>
  <c r="V33" i="15"/>
  <c r="V32" i="15"/>
  <c r="B34" i="15"/>
  <c r="B33" i="15"/>
  <c r="H10" i="15"/>
  <c r="H9" i="15"/>
  <c r="B32" i="15"/>
  <c r="V34" i="15"/>
  <c r="Q12" i="15"/>
  <c r="Q31" i="15"/>
  <c r="Q16" i="15"/>
  <c r="V12" i="14"/>
  <c r="B31" i="14"/>
  <c r="H16" i="14"/>
  <c r="V16" i="14"/>
  <c r="V31" i="14"/>
  <c r="H12" i="14"/>
  <c r="Q38" i="13"/>
  <c r="Q41" i="13"/>
  <c r="Q43" i="13"/>
  <c r="Q40" i="13"/>
  <c r="Q39" i="13"/>
  <c r="I38" i="12"/>
  <c r="I41" i="12"/>
  <c r="I43" i="12"/>
  <c r="I40" i="12"/>
  <c r="I39" i="12"/>
  <c r="V39" i="12"/>
  <c r="V41" i="12"/>
  <c r="V40" i="12"/>
  <c r="V43" i="12"/>
  <c r="V38" i="12"/>
  <c r="Q65" i="10"/>
  <c r="Q73" i="10" s="1"/>
  <c r="Q64" i="10"/>
  <c r="Q66" i="10"/>
  <c r="Q71" i="10"/>
  <c r="Q70" i="10"/>
  <c r="Q72" i="10"/>
  <c r="Q61" i="10"/>
  <c r="Q62" i="10"/>
  <c r="Q63" i="10"/>
  <c r="Q68" i="10"/>
  <c r="Q67" i="10"/>
  <c r="Q69" i="10"/>
  <c r="Q31" i="16" a="1"/>
  <c r="Q40" i="14" a="1"/>
  <c r="Q66" i="12" a="1"/>
  <c r="Q69" i="12" a="1"/>
  <c r="Q67" i="12" a="1"/>
  <c r="Q64" i="12" a="1"/>
  <c r="Q72" i="12" a="1"/>
  <c r="Q61" i="12" a="1"/>
  <c r="Q38" i="14" a="1"/>
  <c r="Q65" i="12" a="1"/>
  <c r="Q62" i="12" a="1"/>
  <c r="Q70" i="12" a="1"/>
  <c r="Q60" i="12" a="1"/>
  <c r="Q43" i="14" a="1"/>
  <c r="Q16" i="16" a="1"/>
  <c r="Q71" i="12" a="1"/>
  <c r="Q39" i="14" a="1"/>
  <c r="Q68" i="12" a="1"/>
  <c r="Q41" i="14" a="1"/>
  <c r="Q12" i="16" a="1"/>
  <c r="Q63" i="12" a="1"/>
  <c r="B33" i="16" l="1"/>
  <c r="H10" i="16"/>
  <c r="H9" i="16"/>
  <c r="B34" i="16"/>
  <c r="B32" i="16"/>
  <c r="Q16" i="16"/>
  <c r="V16" i="16" s="1"/>
  <c r="Q12" i="16"/>
  <c r="H12" i="16" s="1"/>
  <c r="Q31" i="16"/>
  <c r="V31" i="16" s="1"/>
  <c r="V16" i="15"/>
  <c r="V12" i="15"/>
  <c r="B31" i="15"/>
  <c r="V31" i="15"/>
  <c r="H12" i="15"/>
  <c r="H16" i="15"/>
  <c r="Q40" i="14"/>
  <c r="Q39" i="14"/>
  <c r="Q43" i="14"/>
  <c r="Q41" i="14"/>
  <c r="Q38" i="14"/>
  <c r="I40" i="13"/>
  <c r="V39" i="13"/>
  <c r="I43" i="13"/>
  <c r="V41" i="13"/>
  <c r="I38" i="13"/>
  <c r="H47" i="10"/>
  <c r="Q47" i="10"/>
  <c r="I47" i="10" s="1"/>
  <c r="Q72" i="12"/>
  <c r="V73" i="10"/>
  <c r="Q74" i="10"/>
  <c r="V38" i="13"/>
  <c r="I41" i="13"/>
  <c r="V43" i="13"/>
  <c r="V40" i="13"/>
  <c r="I39" i="13"/>
  <c r="Q71" i="12"/>
  <c r="Q68" i="12"/>
  <c r="Q66" i="12"/>
  <c r="Q69" i="12"/>
  <c r="Q67" i="12"/>
  <c r="Q70" i="12"/>
  <c r="Q62" i="12"/>
  <c r="Q65" i="12"/>
  <c r="Q61" i="12"/>
  <c r="Q63" i="12"/>
  <c r="Q60" i="12"/>
  <c r="Q64" i="12"/>
  <c r="V72" i="10"/>
  <c r="V69" i="10"/>
  <c r="V67" i="10"/>
  <c r="V63" i="10"/>
  <c r="V66" i="10"/>
  <c r="V64" i="10"/>
  <c r="V61" i="10"/>
  <c r="V43" i="10"/>
  <c r="I43" i="10"/>
  <c r="V41" i="10"/>
  <c r="I41" i="10"/>
  <c r="V40" i="10"/>
  <c r="I40" i="10"/>
  <c r="V71" i="10"/>
  <c r="V62" i="10"/>
  <c r="H43" i="10"/>
  <c r="V65" i="10"/>
  <c r="H41" i="10"/>
  <c r="V68" i="10"/>
  <c r="H40" i="10"/>
  <c r="V70" i="10"/>
  <c r="H39" i="10"/>
  <c r="Q73" i="12" a="1"/>
  <c r="Q67" i="13" a="1"/>
  <c r="Q72" i="13" a="1"/>
  <c r="Q62" i="13" a="1"/>
  <c r="Q63" i="13" a="1"/>
  <c r="Q41" i="15" a="1"/>
  <c r="Q70" i="13" a="1"/>
  <c r="Q71" i="13" a="1"/>
  <c r="Q40" i="15" a="1"/>
  <c r="Q65" i="13" a="1"/>
  <c r="Q68" i="13" a="1"/>
  <c r="Q61" i="13" a="1"/>
  <c r="Q64" i="13" a="1"/>
  <c r="Q66" i="13" a="1"/>
  <c r="Q73" i="13" a="1"/>
  <c r="Q43" i="15" a="1"/>
  <c r="Q38" i="15" a="1"/>
  <c r="Q69" i="13" a="1"/>
  <c r="Q39" i="15" a="1"/>
  <c r="H16" i="16" l="1"/>
  <c r="V12" i="16"/>
  <c r="B31" i="16"/>
  <c r="Q41" i="15"/>
  <c r="Q39" i="15"/>
  <c r="Q40" i="15"/>
  <c r="Q43" i="15"/>
  <c r="Q38" i="15"/>
  <c r="I41" i="14"/>
  <c r="V39" i="14"/>
  <c r="V40" i="14"/>
  <c r="V43" i="14"/>
  <c r="V38" i="14"/>
  <c r="I40" i="14"/>
  <c r="I39" i="14"/>
  <c r="I43" i="14"/>
  <c r="I38" i="14"/>
  <c r="V41" i="14"/>
  <c r="H47" i="12"/>
  <c r="Q47" i="12"/>
  <c r="I47" i="12" s="1"/>
  <c r="Q73" i="13"/>
  <c r="V72" i="12"/>
  <c r="Q73" i="12"/>
  <c r="V74" i="10"/>
  <c r="Q75" i="10"/>
  <c r="Q66" i="13"/>
  <c r="Q63" i="13"/>
  <c r="Q71" i="13"/>
  <c r="Q61" i="13"/>
  <c r="Q68" i="13"/>
  <c r="Q64" i="13"/>
  <c r="Q70" i="13"/>
  <c r="Q67" i="13"/>
  <c r="Q62" i="13"/>
  <c r="Q69" i="13"/>
  <c r="Q72" i="13"/>
  <c r="Q65" i="13"/>
  <c r="V65" i="12"/>
  <c r="V62" i="12"/>
  <c r="V70" i="12"/>
  <c r="V60" i="12"/>
  <c r="H40" i="12"/>
  <c r="V63" i="12"/>
  <c r="V69" i="12"/>
  <c r="V66" i="12"/>
  <c r="V61" i="12"/>
  <c r="V68" i="12"/>
  <c r="V71" i="12"/>
  <c r="V64" i="12"/>
  <c r="H43" i="12"/>
  <c r="H41" i="12"/>
  <c r="H39" i="12"/>
  <c r="V67" i="12"/>
  <c r="V39" i="10"/>
  <c r="I39" i="10"/>
  <c r="Q67" i="14" a="1"/>
  <c r="Q74" i="13" a="1"/>
  <c r="Q72" i="14" a="1"/>
  <c r="Q68" i="14" a="1"/>
  <c r="Q39" i="16" a="1"/>
  <c r="Q38" i="16" a="1"/>
  <c r="Q74" i="12" a="1"/>
  <c r="Q73" i="14" a="1"/>
  <c r="Q69" i="14" a="1"/>
  <c r="Q65" i="14" a="1"/>
  <c r="Q64" i="14" a="1"/>
  <c r="Q70" i="14" a="1"/>
  <c r="Q40" i="16" a="1"/>
  <c r="Q63" i="14" a="1"/>
  <c r="Q74" i="14" a="1"/>
  <c r="Q71" i="14" a="1"/>
  <c r="Q43" i="16" a="1"/>
  <c r="Q75" i="14" a="1"/>
  <c r="Q66" i="14" a="1"/>
  <c r="Q41" i="16" a="1"/>
  <c r="Q38" i="16" l="1"/>
  <c r="V38" i="16" s="1"/>
  <c r="Q43" i="16"/>
  <c r="V43" i="16" s="1"/>
  <c r="Q40" i="16"/>
  <c r="I40" i="16" s="1"/>
  <c r="Q39" i="16"/>
  <c r="I39" i="16" s="1"/>
  <c r="Q41" i="16"/>
  <c r="V41" i="16" s="1"/>
  <c r="I38" i="15"/>
  <c r="I43" i="15"/>
  <c r="V40" i="15"/>
  <c r="I39" i="15"/>
  <c r="I41" i="15"/>
  <c r="V43" i="15"/>
  <c r="V41" i="15"/>
  <c r="V38" i="15"/>
  <c r="V39" i="15"/>
  <c r="I40" i="15"/>
  <c r="Q65" i="14"/>
  <c r="Q74" i="14"/>
  <c r="Q64" i="14"/>
  <c r="Q68" i="14"/>
  <c r="Q69" i="14"/>
  <c r="Q67" i="14"/>
  <c r="Q71" i="14"/>
  <c r="Q66" i="14"/>
  <c r="Q75" i="14"/>
  <c r="Q72" i="14"/>
  <c r="Q70" i="14"/>
  <c r="Q63" i="14"/>
  <c r="Q73" i="14"/>
  <c r="V63" i="13"/>
  <c r="V72" i="13"/>
  <c r="V62" i="13"/>
  <c r="V66" i="13"/>
  <c r="V67" i="13"/>
  <c r="H41" i="13"/>
  <c r="V69" i="13"/>
  <c r="V64" i="13"/>
  <c r="Q47" i="13"/>
  <c r="I47" i="13" s="1"/>
  <c r="H39" i="13"/>
  <c r="V68" i="13"/>
  <c r="V61" i="13"/>
  <c r="V71" i="13"/>
  <c r="V73" i="13"/>
  <c r="H47" i="13"/>
  <c r="Q74" i="13"/>
  <c r="V73" i="12"/>
  <c r="Q74" i="12"/>
  <c r="V75" i="10"/>
  <c r="V70" i="13"/>
  <c r="V65" i="13"/>
  <c r="H43" i="13"/>
  <c r="H40" i="13"/>
  <c r="Q65" i="15" a="1"/>
  <c r="Q66" i="15" a="1"/>
  <c r="Q76" i="14" a="1"/>
  <c r="Q75" i="15" a="1"/>
  <c r="Q73" i="15" a="1"/>
  <c r="Q68" i="15" a="1"/>
  <c r="Q70" i="15" a="1"/>
  <c r="Q72" i="15" a="1"/>
  <c r="Q67" i="15" a="1"/>
  <c r="Q69" i="15" a="1"/>
  <c r="Q64" i="15" a="1"/>
  <c r="Q74" i="15" a="1"/>
  <c r="Q63" i="15" a="1"/>
  <c r="Q71" i="15" a="1"/>
  <c r="Q75" i="13" a="1"/>
  <c r="V40" i="16" l="1"/>
  <c r="I38" i="16"/>
  <c r="V39" i="16"/>
  <c r="I41" i="16"/>
  <c r="I43" i="16"/>
  <c r="Q75" i="15"/>
  <c r="Q49" i="15" s="1"/>
  <c r="I49" i="15" s="1"/>
  <c r="Q69" i="15"/>
  <c r="Q72" i="15"/>
  <c r="Q66" i="15"/>
  <c r="Q71" i="15"/>
  <c r="Q67" i="15"/>
  <c r="Q68" i="15"/>
  <c r="Q64" i="15"/>
  <c r="Q74" i="15"/>
  <c r="Q73" i="15"/>
  <c r="Q65" i="15"/>
  <c r="Q63" i="15"/>
  <c r="Q70" i="15"/>
  <c r="V70" i="15" s="1"/>
  <c r="V75" i="14"/>
  <c r="V69" i="14"/>
  <c r="V72" i="14"/>
  <c r="V66" i="14"/>
  <c r="V71" i="14"/>
  <c r="V67" i="14"/>
  <c r="V68" i="14"/>
  <c r="V64" i="14"/>
  <c r="V74" i="14"/>
  <c r="V73" i="14"/>
  <c r="V65" i="14"/>
  <c r="V63" i="14"/>
  <c r="H40" i="14"/>
  <c r="H41" i="14"/>
  <c r="Q76" i="14"/>
  <c r="V70" i="14"/>
  <c r="H39" i="14"/>
  <c r="Q49" i="14"/>
  <c r="I49" i="14" s="1"/>
  <c r="H49" i="14"/>
  <c r="V74" i="13"/>
  <c r="H43" i="14"/>
  <c r="Q75" i="13"/>
  <c r="V74" i="12"/>
  <c r="Q73" i="16" a="1"/>
  <c r="Q77" i="14" a="1"/>
  <c r="Q64" i="16" a="1"/>
  <c r="Q66" i="16" a="1"/>
  <c r="Q67" i="16" a="1"/>
  <c r="Q75" i="16" a="1"/>
  <c r="Q65" i="16" a="1"/>
  <c r="Q71" i="16" a="1"/>
  <c r="Q69" i="16" a="1"/>
  <c r="Q74" i="16" a="1"/>
  <c r="Q72" i="16" a="1"/>
  <c r="Q70" i="16" a="1"/>
  <c r="Q68" i="16" a="1"/>
  <c r="Q76" i="15" a="1"/>
  <c r="Q63" i="16" a="1"/>
  <c r="Q73" i="16" l="1"/>
  <c r="V73" i="16" s="1"/>
  <c r="Q74" i="16"/>
  <c r="V74" i="16" s="1"/>
  <c r="Q67" i="16"/>
  <c r="H41" i="16" s="1"/>
  <c r="Q64" i="16"/>
  <c r="V64" i="16" s="1"/>
  <c r="Q71" i="16"/>
  <c r="V71" i="16" s="1"/>
  <c r="Q66" i="16"/>
  <c r="V66" i="16" s="1"/>
  <c r="Q72" i="16"/>
  <c r="V72" i="16" s="1"/>
  <c r="Q69" i="16"/>
  <c r="V69" i="16" s="1"/>
  <c r="Q70" i="16"/>
  <c r="H40" i="16" s="1"/>
  <c r="Q75" i="16"/>
  <c r="V75" i="16" s="1"/>
  <c r="Q65" i="16"/>
  <c r="V65" i="16" s="1"/>
  <c r="Q68" i="16"/>
  <c r="V68" i="16" s="1"/>
  <c r="Q63" i="16"/>
  <c r="V63" i="16" s="1"/>
  <c r="V73" i="15"/>
  <c r="V74" i="15"/>
  <c r="H41" i="15"/>
  <c r="V64" i="15"/>
  <c r="V71" i="15"/>
  <c r="V66" i="15"/>
  <c r="H39" i="15"/>
  <c r="V69" i="15"/>
  <c r="H40" i="15"/>
  <c r="H49" i="15"/>
  <c r="V65" i="15"/>
  <c r="V68" i="15"/>
  <c r="V63" i="15"/>
  <c r="V75" i="15"/>
  <c r="V72" i="15"/>
  <c r="H43" i="15"/>
  <c r="V67" i="15"/>
  <c r="Q76" i="15"/>
  <c r="V76" i="14"/>
  <c r="Q77" i="14"/>
  <c r="V75" i="13"/>
  <c r="Q77" i="15" a="1"/>
  <c r="Q76" i="16" a="1"/>
  <c r="V67" i="16" l="1"/>
  <c r="Q49" i="16"/>
  <c r="I49" i="16" s="1"/>
  <c r="V70" i="16"/>
  <c r="H39" i="16"/>
  <c r="H49" i="16"/>
  <c r="H43" i="16"/>
  <c r="Q76" i="16"/>
  <c r="V76" i="16" s="1"/>
  <c r="V76" i="15"/>
  <c r="Q77" i="15"/>
  <c r="V77" i="14"/>
  <c r="Q77" i="16" a="1"/>
  <c r="Q77" i="16" l="1"/>
  <c r="V77" i="16" s="1"/>
  <c r="V7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3" authorId="0" shapeId="0" xr:uid="{00000000-0006-0000-0100-000001000000}">
      <text>
        <r>
          <rPr>
            <b/>
            <sz val="8"/>
            <color indexed="81"/>
            <rFont val="Tahoma"/>
            <family val="2"/>
          </rPr>
          <t>Nelmspk0:</t>
        </r>
        <r>
          <rPr>
            <sz val="8"/>
            <color indexed="81"/>
            <rFont val="Tahoma"/>
            <family val="2"/>
          </rPr>
          <t xml:space="preserve">
Effective at the start of the first full payroll period after January 1, 2017: All wages, longevity, premiums, and shift differential increase by 2.5%. 
</t>
        </r>
      </text>
    </comment>
    <comment ref="A31" authorId="0" shapeId="0" xr:uid="{00000000-0006-0000-0100-000002000000}">
      <text>
        <r>
          <rPr>
            <b/>
            <sz val="8"/>
            <color indexed="81"/>
            <rFont val="Tahoma"/>
            <family val="2"/>
          </rPr>
          <t>Nelmspk0:</t>
        </r>
        <r>
          <rPr>
            <sz val="8"/>
            <color indexed="81"/>
            <rFont val="Tahoma"/>
            <family val="2"/>
          </rPr>
          <t xml:space="preserve">
All rates on the Wage Schedule increased by 2.5% on the first full payroll period after January 1, 2017.  
The City will continue to contribute 7.5% of gross wages to the Union's Retirement Plan and Trust, and will contribute 5% of gross wages to the Union's Health and Welfare Plan.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3" authorId="0" shapeId="0" xr:uid="{00000000-0006-0000-0200-000001000000}">
      <text>
        <r>
          <rPr>
            <b/>
            <sz val="8"/>
            <color indexed="81"/>
            <rFont val="Tahoma"/>
            <family val="2"/>
          </rPr>
          <t>Nelmspk0:</t>
        </r>
        <r>
          <rPr>
            <sz val="8"/>
            <color indexed="81"/>
            <rFont val="Tahoma"/>
            <family val="2"/>
          </rPr>
          <t xml:space="preserve">
For CPT (Permanent) EMPLOYEES: Effective on January 1, 2018: increase all regular wage steps, longevity steps, premiums, and shift differentials by 2.0%. 
</t>
        </r>
      </text>
    </comment>
    <comment ref="A31" authorId="0" shapeId="0" xr:uid="{00000000-0006-0000-0200-000002000000}">
      <text>
        <r>
          <rPr>
            <b/>
            <sz val="8"/>
            <color indexed="81"/>
            <rFont val="Tahoma"/>
            <family val="2"/>
          </rPr>
          <t>Nelmspk0:</t>
        </r>
        <r>
          <rPr>
            <sz val="8"/>
            <color indexed="81"/>
            <rFont val="Tahoma"/>
            <family val="2"/>
          </rPr>
          <t xml:space="preserve">
For CST (TEMPORARY) EMPLOYEES: 
Effective on July 8, 2018: increase all regular wage steps and premiums by 2.0%. 
Effective July 8, 2018, increase the payment to the IASTE Health and Welfare Plan to 7.0% of Gross Wages. 
</t>
        </r>
      </text>
    </comment>
    <comment ref="A43" authorId="0" shapeId="0" xr:uid="{00000000-0006-0000-0200-000003000000}">
      <text>
        <r>
          <rPr>
            <b/>
            <sz val="8"/>
            <color indexed="81"/>
            <rFont val="Tahoma"/>
            <family val="2"/>
          </rPr>
          <t>Nelmspk0:</t>
        </r>
        <r>
          <rPr>
            <sz val="8"/>
            <color indexed="81"/>
            <rFont val="Tahoma"/>
            <family val="2"/>
          </rPr>
          <t xml:space="preserve">
For CST (TEMPORARY) EMPLOYEES:
Effective on January 1, 2018: increase all regular wage steps and premiumsl increase by 2.0%. 
Effective July 8, 2018, increase the payment to the IASTE Health and Welfare Plan to 7.0 % of Gross Wages.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3" authorId="0" shapeId="0" xr:uid="{00000000-0006-0000-0300-000001000000}">
      <text>
        <r>
          <rPr>
            <b/>
            <sz val="8"/>
            <color indexed="81"/>
            <rFont val="Tahoma"/>
            <family val="2"/>
          </rPr>
          <t>Nelmspk0:</t>
        </r>
        <r>
          <rPr>
            <sz val="8"/>
            <color indexed="81"/>
            <rFont val="Tahoma"/>
            <family val="2"/>
          </rPr>
          <t xml:space="preserve">
For CPT (Permanent) EMPLOYEES: Effective on January 1, 2019: increase all regular wage steps, longevity steps, premiums, and shift differential increase by 2.0%. 
</t>
        </r>
      </text>
    </comment>
    <comment ref="A31" authorId="0" shapeId="0" xr:uid="{00000000-0006-0000-0300-000002000000}">
      <text>
        <r>
          <rPr>
            <b/>
            <sz val="8"/>
            <color indexed="81"/>
            <rFont val="Tahoma"/>
            <family val="2"/>
          </rPr>
          <t>Nelmspk0:</t>
        </r>
        <r>
          <rPr>
            <sz val="8"/>
            <color indexed="81"/>
            <rFont val="Tahoma"/>
            <family val="2"/>
          </rPr>
          <t xml:space="preserve">
For CST (TEMPORARY) EMPLOYEES: 
Effective on January 1, 2019: increase all regular wage steps and premiums by 2.0%. 
Effective January 1,2019, increase the payment to the IASTE Health and Welfare Plan to 8.0% of Gross Wages.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Miller, Brenda </author>
  </authors>
  <commentList>
    <comment ref="N7" authorId="0" shapeId="0" xr:uid="{CEFB7BFA-FB82-4F32-8E2B-44D1E71DD2FA}">
      <text>
        <r>
          <rPr>
            <sz val="9"/>
            <color indexed="81"/>
            <rFont val="Tahoma"/>
            <family val="2"/>
          </rPr>
          <t xml:space="preserve">$2.00 an hour effective 1/1/2023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<sst xmlns="http://schemas.openxmlformats.org/spreadsheetml/2006/main" count="1821" uniqueCount="250">
  <si>
    <t>LRPN_ALLSALSTEPSBY_ONE_UC_</t>
  </si>
  <si>
    <t xml:space="preserve"> 2</t>
  </si>
  <si>
    <t>FLSA</t>
  </si>
  <si>
    <t>Job Code</t>
  </si>
  <si>
    <t>Job Title</t>
  </si>
  <si>
    <t>Sal Plan</t>
  </si>
  <si>
    <t>Sal Grade</t>
  </si>
  <si>
    <t>Step</t>
  </si>
  <si>
    <t>Hrly Rate</t>
  </si>
  <si>
    <t>Annual Rt</t>
  </si>
  <si>
    <t>Std Hrs Wk</t>
  </si>
  <si>
    <t>Eff Date</t>
  </si>
  <si>
    <t>Class Grade</t>
  </si>
  <si>
    <t>Grade</t>
  </si>
  <si>
    <t>Tot Points</t>
  </si>
  <si>
    <t>Union Code</t>
  </si>
  <si>
    <t>Max/Hour</t>
  </si>
  <si>
    <t>Step Desc</t>
  </si>
  <si>
    <t>N</t>
  </si>
  <si>
    <t>08310C</t>
  </si>
  <si>
    <t>Production Technician I-C</t>
  </si>
  <si>
    <t>CPT</t>
  </si>
  <si>
    <t>01</t>
  </si>
  <si>
    <t>08311C</t>
  </si>
  <si>
    <t>Production Technician II-C</t>
  </si>
  <si>
    <t>02</t>
  </si>
  <si>
    <t>Appendix "A" - International Alliance of Theatrical Stage Employees</t>
  </si>
  <si>
    <t xml:space="preserve"> </t>
  </si>
  <si>
    <t>(CPT) Local Union No. 13 - IATSE</t>
  </si>
  <si>
    <t>Effective at the start of the first full payroll period after January 1, 2017:</t>
  </si>
  <si>
    <t>Group 1: (CPT) Permanent Employees</t>
  </si>
  <si>
    <t>FLSA /OTC</t>
  </si>
  <si>
    <t>Salary Grade</t>
  </si>
  <si>
    <t>CODE</t>
  </si>
  <si>
    <t>CLASSIFICATION</t>
  </si>
  <si>
    <t>PTS</t>
  </si>
  <si>
    <t>G</t>
  </si>
  <si>
    <t>P</t>
  </si>
  <si>
    <t>Hourly Rate</t>
  </si>
  <si>
    <t>N-2</t>
  </si>
  <si>
    <t>CPT 01</t>
  </si>
  <si>
    <t>Production Technician I</t>
  </si>
  <si>
    <t>H</t>
  </si>
  <si>
    <t xml:space="preserve"> CPT 02</t>
  </si>
  <si>
    <t>Production Technician II</t>
  </si>
  <si>
    <t>**Premium Rigger Rate</t>
  </si>
  <si>
    <t xml:space="preserve"> (Total Hourly rate=hourly rate + rigger rate)</t>
  </si>
  <si>
    <t>(Rate for heavy rigging as defined in the Labor Agreement.)</t>
  </si>
  <si>
    <t>`</t>
  </si>
  <si>
    <t xml:space="preserve">Shift Differentials: </t>
  </si>
  <si>
    <t>A $1.854 per hour shift differential be paid for shifts that start between the hours of 5:00 p.m. and 4:00 a.m.</t>
  </si>
  <si>
    <t>A $0.927 per hour shift differential be paid for shifts that start between the hours of 5:00 a.m. and 6:00 a.m.,</t>
  </si>
  <si>
    <t xml:space="preserve"> or between the hours of 4:00 p.m. and 5:00 p.m.</t>
  </si>
  <si>
    <t>Lead Worker Premium</t>
  </si>
  <si>
    <t xml:space="preserve">A $1.236 per hour premium be paid for each hour worked as an employer-designated Lead Worker. </t>
  </si>
  <si>
    <r>
      <t>Longevity -</t>
    </r>
    <r>
      <rPr>
        <sz val="11"/>
        <color theme="1" tint="4.9989318521683403E-2"/>
        <rFont val="Calibri"/>
        <family val="2"/>
        <scheme val="minor"/>
      </rPr>
      <t xml:space="preserve"> Employees shall receive the following longevity: </t>
    </r>
  </si>
  <si>
    <t>Notwithstanding the requirements of the Fair Labor Standards Act, these payments shall be:</t>
  </si>
  <si>
    <t xml:space="preserve"> cents per hour additional at the beginning of the 10th year of service.</t>
  </si>
  <si>
    <t xml:space="preserve"> cents per hour additional at the beginning of the 15th year of service.</t>
  </si>
  <si>
    <t xml:space="preserve"> cents per hour additional at the beginning of the 20th year of service.</t>
  </si>
  <si>
    <t xml:space="preserve"> cents per hour additional at the beginning of the 25th year of service.</t>
  </si>
  <si>
    <t>Group 2: Temporary Employees</t>
  </si>
  <si>
    <t>Premium</t>
  </si>
  <si>
    <t>Total Hourly Rate</t>
  </si>
  <si>
    <t>CST 01</t>
  </si>
  <si>
    <t>09300C</t>
  </si>
  <si>
    <t>Stagehand (Temporary) General Work</t>
  </si>
  <si>
    <t>N/A</t>
  </si>
  <si>
    <t>Stagehand (Temporary) Performance (1)</t>
  </si>
  <si>
    <t>Stagehand (Temporary) Performance (2)</t>
  </si>
  <si>
    <t>Rigger Rate (Temporary)**</t>
  </si>
  <si>
    <t>**  Rate for heavy rigging as defined in the Labor Agreement.</t>
  </si>
  <si>
    <t>Lead Worker Stagehand (Temporary) Performance (3)</t>
  </si>
  <si>
    <t xml:space="preserve">H </t>
  </si>
  <si>
    <t>Health And Welfare Fund Contribution</t>
  </si>
  <si>
    <t xml:space="preserve">In addition to the above wage rates for Temporary Employees, the Employer shall make contributions to the </t>
  </si>
  <si>
    <t xml:space="preserve">IATSE Health and Welfare Plan sponsored by the Union for the benefit of its members. Such contributions </t>
  </si>
  <si>
    <t xml:space="preserve">shall be made at the rate of five-point-zero-four-one percent  (5.041%) of gross wages. </t>
  </si>
  <si>
    <t>Pension Fund Contribution</t>
  </si>
  <si>
    <t xml:space="preserve">IATSE Retirement Plan and Trust, sponsored by the Union for the benefit of its members. Such contributions </t>
  </si>
  <si>
    <t xml:space="preserve">shall be made at the same rate (percentage) as the employer's contribution to the Public Employee's Retirement </t>
  </si>
  <si>
    <t xml:space="preserve">Association (PERA) for permanent employees under this Agreement. </t>
  </si>
  <si>
    <t>Effective on January 1, 2018:</t>
  </si>
  <si>
    <t>A $1.891 per hour shift differential be paid for shifts that start between the hours of 5:00 p.m. and 4:00 a.m.</t>
  </si>
  <si>
    <t>A $0.946 per hour shift differential be paid for shifts that start between the hours of 5:00 a.m. and 6:00 a.m.,</t>
  </si>
  <si>
    <t>Lead Worker Premium:</t>
  </si>
  <si>
    <t xml:space="preserve">A $1.261 per hour premium be paid for each hour worked as an employer-designated Lead Worker. </t>
  </si>
  <si>
    <t xml:space="preserve">Group 2: (CST) Temporary Employees </t>
  </si>
  <si>
    <t>Effective on July 8, 2018:</t>
  </si>
  <si>
    <t xml:space="preserve">Note that for each type of premuim work in this section, the premium is added to the General Work base </t>
  </si>
  <si>
    <t xml:space="preserve">rate to make the Total Hourly Rate as shown above. </t>
  </si>
  <si>
    <t>Health And Welfare Fund Contribution:</t>
  </si>
  <si>
    <t xml:space="preserve">shall be made at the rate of seven percent  (7.0%) of gross wages. </t>
  </si>
  <si>
    <t>Pension Fund Contribution:</t>
  </si>
  <si>
    <t>Effective on January 1, 2019:</t>
  </si>
  <si>
    <t>A $1.929 per hour shift differential be paid for shifts that start between the hours of 5:00 p.m. and 4:00 a.m.</t>
  </si>
  <si>
    <t>A $0.995 per hour shift differential be paid for shifts that start between the hours of 5:00 a.m. and 6:00 a.m.,</t>
  </si>
  <si>
    <t xml:space="preserve">A $1.286 per hour premium be paid for each hour worked as an employer-designated Lead Worker. </t>
  </si>
  <si>
    <t>Group 2: (CST) Temporary Employees</t>
  </si>
  <si>
    <t xml:space="preserve">shall be made at the rate of eight percent  (8.0%) of gross wages. </t>
  </si>
  <si>
    <r>
      <t xml:space="preserve">Effective on January 1, 2020 </t>
    </r>
    <r>
      <rPr>
        <i/>
        <sz val="11"/>
        <color theme="1" tint="4.9989318521683403E-2"/>
        <rFont val="Calibri"/>
        <family val="2"/>
        <scheme val="minor"/>
      </rPr>
      <t>(2.5% increase)</t>
    </r>
  </si>
  <si>
    <t>Code</t>
  </si>
  <si>
    <t>Classification</t>
  </si>
  <si>
    <t>Points</t>
  </si>
  <si>
    <t>Pay
Type</t>
  </si>
  <si>
    <t>Hourly
Rate</t>
  </si>
  <si>
    <t>CPTPMR</t>
  </si>
  <si>
    <t>TL-Premium Rigger-CPT</t>
  </si>
  <si>
    <t>CPTEVE</t>
  </si>
  <si>
    <t>TL-Evening Shift Premium-CPT</t>
  </si>
  <si>
    <t>CPTAM1</t>
  </si>
  <si>
    <t>TL-Morning Shift Premium CPT</t>
  </si>
  <si>
    <t>or between the hours of 4:00 p.m. and 5:00 p.m.</t>
  </si>
  <si>
    <t>CPTNIT</t>
  </si>
  <si>
    <t>CPTLDS</t>
  </si>
  <si>
    <t>TL-Lead Prem (Substitute)-CPT</t>
  </si>
  <si>
    <t>Longevity Pay</t>
  </si>
  <si>
    <t>10th Year</t>
  </si>
  <si>
    <t>15th Year</t>
  </si>
  <si>
    <t>20th Year</t>
  </si>
  <si>
    <t>25th Year</t>
  </si>
  <si>
    <t>No incumbents</t>
  </si>
  <si>
    <t>Rate Code</t>
  </si>
  <si>
    <t>Descr</t>
  </si>
  <si>
    <t>Comp Rate</t>
  </si>
  <si>
    <t>CSTPM1</t>
  </si>
  <si>
    <t>CSTAM1</t>
  </si>
  <si>
    <t>TL-Evening Shift Premium</t>
  </si>
  <si>
    <t>CSTPM2</t>
  </si>
  <si>
    <t>CSTEVE</t>
  </si>
  <si>
    <t>TL-Evening Shift Premium-CST</t>
  </si>
  <si>
    <t>CSTLDS</t>
  </si>
  <si>
    <t>TL-Lead Prem (Substitute)-CST</t>
  </si>
  <si>
    <t>CSTNIT</t>
  </si>
  <si>
    <t>TL-Night Shift Premium-CST</t>
  </si>
  <si>
    <t>TL-Stagehand Performance 1</t>
  </si>
  <si>
    <t>TL-Stagehand Performance 2</t>
  </si>
  <si>
    <t xml:space="preserve">Note that for each type of premuim work in this section, the premium is added to the General Work base rate to make the Total Hourly Rate as shown above. </t>
  </si>
  <si>
    <t>CSTPM3</t>
  </si>
  <si>
    <t>TL-Stagehand Performance 3</t>
  </si>
  <si>
    <t>CSTPMR</t>
  </si>
  <si>
    <t>TL-Premium Rigger-CST</t>
  </si>
  <si>
    <t>CSTPRT</t>
  </si>
  <si>
    <t>TL-Temp Prem Rigger-CST</t>
  </si>
  <si>
    <t xml:space="preserve">In addition to the above wage rates for Temporary Employees, the Employer shall make contributions to the IATSE Health and Welfare Plan sponsored by the Union for the benefit of its members. Such contributions shall be made at the rate of eight percent  (9.5%) of gross wages.	</t>
  </si>
  <si>
    <t xml:space="preserve">In addition to the above wage rates for Temporary Employees, the Employer shall make contributions to the IATSE Retirement Plan and Trust, sponsored by the Union for the benefit of its members. Such contributions shall be made at the rate of six percent (6%) of gross wages. </t>
  </si>
  <si>
    <r>
      <t xml:space="preserve">Effective on January 1, 2021 </t>
    </r>
    <r>
      <rPr>
        <i/>
        <sz val="11"/>
        <color theme="1" tint="4.9989318521683403E-2"/>
        <rFont val="Calibri"/>
        <family val="2"/>
        <scheme val="minor"/>
      </rPr>
      <t>(2.5% increase)</t>
    </r>
  </si>
  <si>
    <t>Rate</t>
  </si>
  <si>
    <t>CPT 02</t>
  </si>
  <si>
    <t>Step 2</t>
  </si>
  <si>
    <t>Step 3</t>
  </si>
  <si>
    <t>Step 4</t>
  </si>
  <si>
    <t>Step 5</t>
  </si>
  <si>
    <t>Incr2022</t>
  </si>
  <si>
    <r>
      <t>Effective on January 1, 2022</t>
    </r>
    <r>
      <rPr>
        <i/>
        <sz val="11"/>
        <color theme="1" tint="4.9989318521683403E-2"/>
        <rFont val="Calibri"/>
        <family val="2"/>
        <scheme val="minor"/>
      </rPr>
      <t xml:space="preserve"> (2.5% increase)</t>
    </r>
  </si>
  <si>
    <t>Hrly Rt</t>
  </si>
  <si>
    <t>Earnings Code</t>
  </si>
  <si>
    <t>Earnings Descr</t>
  </si>
  <si>
    <t>LDD</t>
  </si>
  <si>
    <t>Perfm 3 Stagehands/Dbl/</t>
  </si>
  <si>
    <t>LDR</t>
  </si>
  <si>
    <t>Perfm 3 Stagehands</t>
  </si>
  <si>
    <t>LDT</t>
  </si>
  <si>
    <t>Perfm 3 Stagehands/1.5/</t>
  </si>
  <si>
    <t>RTD</t>
  </si>
  <si>
    <t>L13 Tmp Rig Prm Dbl Hrs/</t>
  </si>
  <si>
    <t>RTG</t>
  </si>
  <si>
    <t>L13 Tmp Rig Prm Reg Hrs/</t>
  </si>
  <si>
    <t>RTT</t>
  </si>
  <si>
    <t>L13Tmp Rig Pm 1 1/2 Hrs/</t>
  </si>
  <si>
    <t>SPD</t>
  </si>
  <si>
    <t>Perfm 2 Stagehands/Dbl/</t>
  </si>
  <si>
    <t>SPR</t>
  </si>
  <si>
    <t>Perfm 2 Stagehands/</t>
  </si>
  <si>
    <t>SPT</t>
  </si>
  <si>
    <t>Perfm 2 Stagehands/1.5/</t>
  </si>
  <si>
    <t>STD</t>
  </si>
  <si>
    <t>Perfm 1 Stagehands/Dbl</t>
  </si>
  <si>
    <t>STG</t>
  </si>
  <si>
    <t>Perfm 1 Stagehands</t>
  </si>
  <si>
    <t>STT</t>
  </si>
  <si>
    <t>Perfm 1 Stagehands/1.5</t>
  </si>
  <si>
    <t>CITY OF MINNEAPOLIS</t>
  </si>
  <si>
    <t>Incr2023</t>
  </si>
  <si>
    <t>IncrStageHands2023</t>
  </si>
  <si>
    <t>Effective on January 1, 2023</t>
  </si>
  <si>
    <t>Data From</t>
  </si>
  <si>
    <t>Rates2022</t>
  </si>
  <si>
    <t>last updated 4/6/2023</t>
  </si>
  <si>
    <t>ETCP Rigger Rate</t>
  </si>
  <si>
    <t>Update</t>
  </si>
  <si>
    <t>Title</t>
  </si>
  <si>
    <t>Y</t>
  </si>
  <si>
    <t>Premium Rigger Rate</t>
  </si>
  <si>
    <t xml:space="preserve"> (Total hourly rate=hourly rate + rigger rate)</t>
  </si>
  <si>
    <r>
      <t xml:space="preserve">ETCP Premium (Lead Rigger Rate) </t>
    </r>
    <r>
      <rPr>
        <sz val="11"/>
        <color theme="1" tint="4.9989318521683403E-2"/>
        <rFont val="Calibri"/>
        <family val="2"/>
        <scheme val="minor"/>
      </rPr>
      <t>Requires current and valid ETCP certification</t>
    </r>
  </si>
  <si>
    <t>CPTLRG</t>
  </si>
  <si>
    <t>TL-ETCP Premium Rigger-CPT</t>
  </si>
  <si>
    <t xml:space="preserve"> (Total hourly rate=hourly rate + rigger rate + ETCP premium rigger rate)</t>
  </si>
  <si>
    <t>(Rate for lead rigger as defined in the Labor Agreement.)</t>
  </si>
  <si>
    <t xml:space="preserve"> (Total hourly rate=hourly rate + ETCP premium rigger rate)</t>
  </si>
  <si>
    <t>IATSE H&amp;W</t>
  </si>
  <si>
    <t xml:space="preserve">In addition to the above wage rates for Temporary Employees, the Employer shall make contributions to the IATSE Retirement Plan and </t>
  </si>
  <si>
    <t>IATSE Retirement</t>
  </si>
  <si>
    <t>LRR</t>
  </si>
  <si>
    <t>ETCP Lead Rigger- temp</t>
  </si>
  <si>
    <t>LRT</t>
  </si>
  <si>
    <t>ETCP Lead Rigger- 1.5</t>
  </si>
  <si>
    <t>LRD</t>
  </si>
  <si>
    <t>ETCP Lead Rigger@2</t>
  </si>
  <si>
    <t>Incr2024</t>
  </si>
  <si>
    <t>IncrStageHands2024</t>
  </si>
  <si>
    <t>Effective on January 1, 2024</t>
  </si>
  <si>
    <t>Rates2023</t>
  </si>
  <si>
    <t>Incr2025</t>
  </si>
  <si>
    <t>IncrStageHands2025</t>
  </si>
  <si>
    <t>Effective on January 1, 2025</t>
  </si>
  <si>
    <t>Rates2024</t>
  </si>
  <si>
    <t>Date</t>
  </si>
  <si>
    <t>Entered by</t>
  </si>
  <si>
    <t>Note</t>
  </si>
  <si>
    <t>unknown</t>
  </si>
  <si>
    <t>Nelmspk0:</t>
  </si>
  <si>
    <t>For CPT (Permanent) EMPLOYEES: Effective on January 1, 2019: increase all regular wage steps, longevity steps, premiums, and shift differential increase by 2.0%.</t>
  </si>
  <si>
    <t xml:space="preserve">For CST (TEMPORARY) EMPLOYEES: </t>
  </si>
  <si>
    <t xml:space="preserve">Effective on January 1, 2019: increase all regular wage steps and premiums by 2.0%. </t>
  </si>
  <si>
    <t xml:space="preserve">Effective January 1,2019, increase the payment to the IASTE Health and Welfare Plan to 8.0% of Gross Wages. </t>
  </si>
  <si>
    <t>Brenda Miller</t>
  </si>
  <si>
    <t>2020:Increased wages, longevity pay, shift differential for Group 1 and Group 2 by 2.5%; increased Group 2 premiums by $0.02 and then by 2.5%; changed pension contribution…</t>
  </si>
  <si>
    <t>2021:Increased wages, longevity pay, shift differential for Group 1 and Group 2 by 2.5%; increased Group 2 premiums by 2.5%</t>
  </si>
  <si>
    <t>2022:Increased wages, longevity pay, shift differential for Group 1 and Group 2 by 2.5%; increased Group 2 premiums by 2.5%</t>
  </si>
  <si>
    <t>Added points and class grade to Stagehand (Temporary) General Work</t>
  </si>
  <si>
    <t>last updated 1/12/2026</t>
  </si>
  <si>
    <t xml:space="preserve">4% increase </t>
  </si>
  <si>
    <t>Rates2025</t>
  </si>
  <si>
    <t>Incr2026</t>
  </si>
  <si>
    <t>Rates2026</t>
  </si>
  <si>
    <t>Rates2027</t>
  </si>
  <si>
    <t>Effective January 1, 2026</t>
  </si>
  <si>
    <t>IncrStageHands2026</t>
  </si>
  <si>
    <t>Incr2027</t>
  </si>
  <si>
    <t>IncrStageHands2027</t>
  </si>
  <si>
    <t>Incr2028</t>
  </si>
  <si>
    <t>IncrStageHands2028</t>
  </si>
  <si>
    <t>Effective January 1, 2028</t>
  </si>
  <si>
    <t>Effective January 1, 2027</t>
  </si>
  <si>
    <t>AV Techs (Temporary) General Work</t>
  </si>
  <si>
    <t>Stagehand / AV Tech (Temporary) Performance (1)</t>
  </si>
  <si>
    <t>Lead Worker Stagehand (Temporary) Performance (2)</t>
  </si>
  <si>
    <t>**  Rate for heavy rigging as defined in the Labor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</si>
</sst>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8" formatCode="&quot;$&quot;#,##0.00_);[Red]\(&quot;$&quot;#,##0.00\)"/>
    <numFmt numFmtId="164" formatCode="General_)"/>
    <numFmt numFmtId="165" formatCode="&quot;$&quot;#,##0.000"/>
    <numFmt numFmtId="166" formatCode="0.000000"/>
    <numFmt numFmtId="167" formatCode="0.000"/>
    <numFmt numFmtId="168" formatCode="&quot;$&quot;#,##0.000_);[Red]\(&quot;$&quot;#,##0.000\)"/>
    <numFmt numFmtId="169" formatCode="&quot;$&quot;#,##0.00"/>
    <numFmt numFmtId="170" formatCode="0.0%"/>
  </numFmts>
  <fonts count="31" x14ac:knownFonts="1">
    <font>
      <sz val="10"/>
      <name val="Arial"/>
      <family val="2"/>
    </font>
    <font>
      <b/>
      <sz val="11"/>
      <color theme="0"/>
      <name val="Calibri"/>
      <family val="2"/>
      <scheme val="minor"/>
    </font>
    <font>
      <sz val="11"/>
      <color theme="0"/>
      <name val="Calibri"/>
      <family val="2"/>
      <scheme val="minor"/>
    </font>
    <font>
      <b/>
      <sz val="8"/>
      <color indexed="81"/>
      <name val="Tahoma"/>
      <family val="2"/>
    </font>
    <font>
      <sz val="8"/>
      <color indexed="81"/>
      <name val="Tahoma"/>
      <family val="2"/>
    </font>
    <font>
      <sz val="10"/>
      <name val="MS Sans Serif"/>
      <family val="2"/>
    </font>
    <font>
      <b/>
      <sz val="10"/>
      <name val="MS Sans Serif"/>
      <family val="2"/>
    </font>
    <font>
      <sz val="11"/>
      <color theme="1" tint="4.9989318521683403E-2"/>
      <name val="Calibri"/>
      <family val="2"/>
      <scheme val="minor"/>
    </font>
    <font>
      <b/>
      <sz val="11"/>
      <color theme="1" tint="4.9989318521683403E-2"/>
      <name val="Calibri"/>
      <family val="2"/>
      <scheme val="minor"/>
    </font>
    <font>
      <sz val="11"/>
      <name val="Calibri"/>
      <family val="2"/>
      <scheme val="minor"/>
    </font>
    <font>
      <b/>
      <sz val="12"/>
      <color theme="1" tint="4.9989318521683403E-2"/>
      <name val="Calibri"/>
      <family val="2"/>
      <scheme val="minor"/>
    </font>
    <font>
      <sz val="11"/>
      <color indexed="8"/>
      <name val="Calibri"/>
      <family val="2"/>
      <scheme val="minor"/>
    </font>
    <font>
      <b/>
      <sz val="10"/>
      <color indexed="0"/>
      <name val="Arial"/>
      <family val="2"/>
    </font>
    <font>
      <b/>
      <sz val="11"/>
      <color rgb="FFFF0000"/>
      <name val="Calibri"/>
      <family val="2"/>
      <scheme val="minor"/>
    </font>
    <font>
      <sz val="9"/>
      <color theme="1" tint="4.9989318521683403E-2"/>
      <name val="Calibri"/>
      <family val="2"/>
      <scheme val="minor"/>
    </font>
    <font>
      <sz val="10"/>
      <color theme="1" tint="4.9989318521683403E-2"/>
      <name val="Calibri"/>
      <family val="2"/>
      <scheme val="minor"/>
    </font>
    <font>
      <u/>
      <sz val="10"/>
      <name val="Arial"/>
      <family val="2"/>
    </font>
    <font>
      <i/>
      <sz val="11"/>
      <color theme="1" tint="4.9989318521683403E-2"/>
      <name val="Calibri"/>
      <family val="2"/>
      <scheme val="minor"/>
    </font>
    <font>
      <b/>
      <sz val="11"/>
      <name val="Calibri"/>
      <family val="2"/>
      <scheme val="minor"/>
    </font>
    <font>
      <sz val="11"/>
      <color rgb="FF000000"/>
      <name val="Calibri"/>
      <family val="2"/>
    </font>
    <font>
      <sz val="8"/>
      <name val="Arial"/>
      <family val="2"/>
    </font>
    <font>
      <sz val="9"/>
      <color indexed="81"/>
      <name val="Tahoma"/>
      <family val="2"/>
    </font>
    <font>
      <b/>
      <i/>
      <sz val="8"/>
      <color theme="1" tint="4.9989318521683403E-2"/>
      <name val="Calibri"/>
      <family val="2"/>
      <scheme val="minor"/>
    </font>
    <font>
      <b/>
      <i/>
      <sz val="10"/>
      <color theme="1" tint="4.9989318521683403E-2"/>
      <name val="Calibri"/>
      <family val="2"/>
      <scheme val="minor"/>
    </font>
    <font>
      <sz val="12"/>
      <color theme="1" tint="4.9989318521683403E-2"/>
      <name val="Calibri"/>
      <family val="2"/>
      <scheme val="minor"/>
    </font>
    <font>
      <sz val="12"/>
      <name val="Calibri"/>
      <family val="2"/>
      <scheme val="minor"/>
    </font>
    <font>
      <sz val="12"/>
      <color theme="0"/>
      <name val="Calibri"/>
      <family val="2"/>
      <scheme val="minor"/>
    </font>
    <font>
      <b/>
      <sz val="12"/>
      <color indexed="8" tint="4.9989318521683403E-2"/>
      <name val="Calibri"/>
      <family val="2"/>
      <scheme val="minor"/>
    </font>
    <font>
      <sz val="10"/>
      <name val="Arial"/>
      <family val="2"/>
    </font>
    <font>
      <sz val="11"/>
      <name val="Aptos"/>
      <family val="2"/>
    </font>
    <font>
      <sz val="9"/>
      <color rgb="FF0D0D0D"/>
      <name val="Calibri"/>
      <family val="2"/>
    </font>
  </fonts>
  <fills count="8">
    <fill>
      <patternFill patternType="none"/>
    </fill>
    <fill>
      <patternFill patternType="gray125"/>
    </fill>
    <fill>
      <patternFill patternType="solid">
        <fgColor indexed="22"/>
        <bgColor indexed="55"/>
      </patternFill>
    </fill>
    <fill>
      <patternFill patternType="solid">
        <fgColor theme="0" tint="-0.34998626667073579"/>
        <bgColor indexed="64"/>
      </patternFill>
    </fill>
    <fill>
      <patternFill patternType="solid">
        <fgColor rgb="FF92D050"/>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FF00"/>
        <bgColor indexed="64"/>
      </patternFill>
    </fill>
  </fills>
  <borders count="4">
    <border>
      <left/>
      <right/>
      <top/>
      <bottom/>
      <diagonal/>
    </border>
    <border>
      <left/>
      <right/>
      <top/>
      <bottom style="thin">
        <color indexed="64"/>
      </bottom>
      <diagonal/>
    </border>
    <border>
      <left/>
      <right/>
      <top/>
      <bottom style="medium">
        <color indexed="64"/>
      </bottom>
      <diagonal/>
    </border>
    <border>
      <left style="double">
        <color auto="1"/>
      </left>
      <right style="double">
        <color auto="1"/>
      </right>
      <top style="double">
        <color auto="1"/>
      </top>
      <bottom style="double">
        <color auto="1"/>
      </bottom>
      <diagonal/>
    </border>
  </borders>
  <cellStyleXfs count="8">
    <xf numFmtId="0" fontId="0" fillId="0" borderId="0"/>
    <xf numFmtId="0" fontId="5" fillId="0" borderId="0" applyNumberFormat="0" applyFont="0" applyFill="0" applyBorder="0" applyAlignment="0" applyProtection="0">
      <alignment horizontal="left"/>
    </xf>
    <xf numFmtId="15" fontId="5" fillId="0" borderId="0" applyFont="0" applyFill="0" applyBorder="0" applyAlignment="0" applyProtection="0"/>
    <xf numFmtId="4" fontId="5" fillId="0" borderId="0" applyFont="0" applyFill="0" applyBorder="0" applyAlignment="0" applyProtection="0"/>
    <xf numFmtId="0" fontId="6" fillId="0" borderId="2">
      <alignment horizontal="center"/>
    </xf>
    <xf numFmtId="3" fontId="5" fillId="0" borderId="0" applyFont="0" applyFill="0" applyBorder="0" applyAlignment="0" applyProtection="0"/>
    <xf numFmtId="0" fontId="11" fillId="0" borderId="0"/>
    <xf numFmtId="9" fontId="28" fillId="0" borderId="0" applyFont="0" applyFill="0" applyBorder="0" applyAlignment="0" applyProtection="0"/>
  </cellStyleXfs>
  <cellXfs count="246">
    <xf numFmtId="0" fontId="0" fillId="0" borderId="0" xfId="0"/>
    <xf numFmtId="0" fontId="7" fillId="0" borderId="0" xfId="0" applyFont="1"/>
    <xf numFmtId="0" fontId="8" fillId="0" borderId="0" xfId="0" applyFont="1" applyAlignment="1" applyProtection="1">
      <alignment horizontal="left"/>
    </xf>
    <xf numFmtId="0" fontId="7" fillId="0" borderId="0" xfId="0" applyFont="1" applyAlignment="1">
      <alignment horizontal="center"/>
    </xf>
    <xf numFmtId="0" fontId="7" fillId="0" borderId="0" xfId="0" applyFont="1" applyAlignment="1" applyProtection="1">
      <alignment horizontal="left"/>
    </xf>
    <xf numFmtId="0" fontId="2" fillId="0" borderId="0" xfId="0" applyFont="1"/>
    <xf numFmtId="0" fontId="8" fillId="0" borderId="0" xfId="0" applyFont="1" applyBorder="1"/>
    <xf numFmtId="0" fontId="8" fillId="0" borderId="1" xfId="0" applyFont="1" applyBorder="1" applyAlignment="1" applyProtection="1">
      <alignment horizontal="center"/>
    </xf>
    <xf numFmtId="0" fontId="8" fillId="0" borderId="1" xfId="0" applyFont="1" applyBorder="1" applyAlignment="1" applyProtection="1">
      <alignment horizontal="left"/>
    </xf>
    <xf numFmtId="0" fontId="8" fillId="0" borderId="1" xfId="0" applyFont="1" applyBorder="1"/>
    <xf numFmtId="0" fontId="7" fillId="0" borderId="0" xfId="0" applyFont="1" applyAlignment="1" applyProtection="1">
      <alignment horizontal="center"/>
    </xf>
    <xf numFmtId="164" fontId="7" fillId="0" borderId="0" xfId="0" applyNumberFormat="1" applyFont="1" applyAlignment="1" applyProtection="1">
      <alignment horizontal="center"/>
    </xf>
    <xf numFmtId="0" fontId="7" fillId="0" borderId="0" xfId="0" applyFont="1" applyProtection="1"/>
    <xf numFmtId="165" fontId="7" fillId="0" borderId="0" xfId="0" applyNumberFormat="1" applyFont="1" applyAlignment="1">
      <alignment horizontal="center"/>
    </xf>
    <xf numFmtId="4" fontId="7" fillId="0" borderId="0" xfId="0" applyNumberFormat="1" applyFont="1" applyAlignment="1" applyProtection="1">
      <alignment horizontal="center"/>
    </xf>
    <xf numFmtId="0" fontId="8" fillId="0" borderId="0" xfId="0" applyFont="1"/>
    <xf numFmtId="0" fontId="7" fillId="0" borderId="0" xfId="0" applyFont="1" applyBorder="1"/>
    <xf numFmtId="0" fontId="9" fillId="0" borderId="0" xfId="0" applyFont="1"/>
    <xf numFmtId="0" fontId="8" fillId="0" borderId="0" xfId="0" applyFont="1" applyAlignment="1">
      <alignment horizontal="center"/>
    </xf>
    <xf numFmtId="0" fontId="7" fillId="0" borderId="0" xfId="0" applyFont="1" applyFill="1"/>
    <xf numFmtId="0" fontId="7" fillId="0" borderId="1" xfId="0" applyFont="1" applyBorder="1"/>
    <xf numFmtId="0" fontId="7" fillId="0" borderId="1" xfId="0" applyFont="1" applyBorder="1" applyAlignment="1">
      <alignment horizontal="center"/>
    </xf>
    <xf numFmtId="0" fontId="7" fillId="0" borderId="0" xfId="0" applyFont="1" applyBorder="1" applyAlignment="1">
      <alignment horizontal="center"/>
    </xf>
    <xf numFmtId="0" fontId="1" fillId="0" borderId="0" xfId="0" applyFont="1" applyBorder="1"/>
    <xf numFmtId="0" fontId="2" fillId="0" borderId="0" xfId="0" applyFont="1" applyBorder="1"/>
    <xf numFmtId="0" fontId="2" fillId="0" borderId="0" xfId="0" applyFont="1" applyBorder="1" applyAlignment="1">
      <alignment horizontal="center"/>
    </xf>
    <xf numFmtId="0" fontId="1" fillId="0" borderId="0" xfId="0" applyFont="1"/>
    <xf numFmtId="0" fontId="2" fillId="0" borderId="0" xfId="0" applyFont="1" applyAlignment="1">
      <alignment horizontal="center"/>
    </xf>
    <xf numFmtId="49" fontId="8" fillId="0" borderId="1" xfId="0" applyNumberFormat="1" applyFont="1" applyBorder="1" applyAlignment="1">
      <alignment horizontal="center" wrapText="1"/>
    </xf>
    <xf numFmtId="0" fontId="1" fillId="0" borderId="0" xfId="0" applyFont="1" applyBorder="1" applyAlignment="1" applyProtection="1">
      <alignment horizontal="center"/>
    </xf>
    <xf numFmtId="0" fontId="1" fillId="0" borderId="0" xfId="0" applyFont="1" applyBorder="1" applyAlignment="1" applyProtection="1">
      <alignment horizontal="left"/>
    </xf>
    <xf numFmtId="49" fontId="1" fillId="0" borderId="0" xfId="0" applyNumberFormat="1" applyFont="1" applyBorder="1" applyAlignment="1">
      <alignment horizontal="center" wrapText="1"/>
    </xf>
    <xf numFmtId="0" fontId="2" fillId="0" borderId="0" xfId="0" applyFont="1" applyBorder="1" applyAlignment="1" applyProtection="1">
      <alignment horizontal="center"/>
    </xf>
    <xf numFmtId="164" fontId="2" fillId="0" borderId="0" xfId="0" applyNumberFormat="1" applyFont="1" applyBorder="1" applyAlignment="1" applyProtection="1">
      <alignment horizontal="center"/>
    </xf>
    <xf numFmtId="0" fontId="2" fillId="0" borderId="0" xfId="0" applyFont="1" applyBorder="1" applyAlignment="1" applyProtection="1">
      <alignment horizontal="left"/>
    </xf>
    <xf numFmtId="0" fontId="2" fillId="0" borderId="0" xfId="0" applyFont="1" applyBorder="1" applyProtection="1"/>
    <xf numFmtId="165" fontId="2" fillId="0" borderId="0" xfId="0" applyNumberFormat="1" applyFont="1" applyBorder="1" applyAlignment="1">
      <alignment horizontal="center"/>
    </xf>
    <xf numFmtId="0" fontId="2" fillId="0" borderId="0" xfId="0" applyFont="1" applyAlignment="1" applyProtection="1">
      <alignment horizontal="center"/>
    </xf>
    <xf numFmtId="164" fontId="2" fillId="0" borderId="0" xfId="0" applyNumberFormat="1" applyFont="1" applyAlignment="1" applyProtection="1">
      <alignment horizontal="center"/>
    </xf>
    <xf numFmtId="0" fontId="2" fillId="0" borderId="0" xfId="0" applyFont="1" applyAlignment="1" applyProtection="1">
      <alignment horizontal="left"/>
    </xf>
    <xf numFmtId="0" fontId="2" fillId="0" borderId="0" xfId="0" applyFont="1" applyProtection="1"/>
    <xf numFmtId="165" fontId="2" fillId="0" borderId="0" xfId="0" applyNumberFormat="1" applyFont="1" applyAlignment="1">
      <alignment horizontal="center"/>
    </xf>
    <xf numFmtId="165" fontId="2" fillId="0" borderId="0" xfId="0" applyNumberFormat="1" applyFont="1"/>
    <xf numFmtId="0" fontId="8" fillId="0" borderId="1" xfId="0" applyFont="1" applyBorder="1" applyAlignment="1" applyProtection="1">
      <alignment horizontal="center" wrapText="1"/>
    </xf>
    <xf numFmtId="0" fontId="8" fillId="0" borderId="0" xfId="0" applyFont="1" applyAlignment="1" applyProtection="1">
      <alignment horizontal="center"/>
    </xf>
    <xf numFmtId="0" fontId="10" fillId="0" borderId="0" xfId="0" applyFont="1" applyAlignment="1" applyProtection="1">
      <alignment horizontal="left"/>
    </xf>
    <xf numFmtId="0" fontId="12" fillId="2" borderId="3" xfId="6" applyFont="1" applyFill="1" applyBorder="1"/>
    <xf numFmtId="0" fontId="11" fillId="0" borderId="0" xfId="6"/>
    <xf numFmtId="1" fontId="11" fillId="0" borderId="0" xfId="6" applyNumberFormat="1"/>
    <xf numFmtId="166" fontId="11" fillId="0" borderId="0" xfId="6" applyNumberFormat="1"/>
    <xf numFmtId="167" fontId="11" fillId="0" borderId="0" xfId="6" applyNumberFormat="1"/>
    <xf numFmtId="2" fontId="11" fillId="0" borderId="0" xfId="6" applyNumberFormat="1"/>
    <xf numFmtId="14" fontId="11" fillId="0" borderId="0" xfId="6" applyNumberFormat="1"/>
    <xf numFmtId="49" fontId="7" fillId="0" borderId="0" xfId="0" applyNumberFormat="1" applyFont="1" applyAlignment="1" applyProtection="1">
      <alignment horizontal="center"/>
    </xf>
    <xf numFmtId="0" fontId="13" fillId="0" borderId="0" xfId="0" applyFont="1"/>
    <xf numFmtId="0" fontId="13" fillId="0" borderId="0" xfId="0" applyFont="1" applyBorder="1"/>
    <xf numFmtId="0" fontId="13" fillId="0" borderId="0" xfId="0" applyFont="1" applyBorder="1" applyAlignment="1" applyProtection="1">
      <alignment horizontal="center"/>
    </xf>
    <xf numFmtId="0" fontId="13" fillId="0" borderId="0" xfId="0" applyFont="1" applyAlignment="1" applyProtection="1">
      <alignment horizontal="center"/>
    </xf>
    <xf numFmtId="0" fontId="13" fillId="0" borderId="0" xfId="0" applyFont="1" applyAlignment="1">
      <alignment horizontal="center"/>
    </xf>
    <xf numFmtId="0" fontId="2" fillId="0" borderId="0" xfId="0" applyFont="1" applyFill="1"/>
    <xf numFmtId="0" fontId="7" fillId="0" borderId="0" xfId="0" applyFont="1" applyFill="1" applyAlignment="1">
      <alignment horizontal="center"/>
    </xf>
    <xf numFmtId="0" fontId="7" fillId="0" borderId="0" xfId="0" applyFont="1" applyFill="1" applyBorder="1"/>
    <xf numFmtId="0" fontId="13" fillId="0" borderId="0" xfId="0" applyFont="1" applyFill="1"/>
    <xf numFmtId="0" fontId="2" fillId="0" borderId="0" xfId="0" applyFont="1" applyFill="1" applyAlignment="1">
      <alignment horizontal="center"/>
    </xf>
    <xf numFmtId="0" fontId="7" fillId="3" borderId="0" xfId="0" applyFont="1" applyFill="1" applyBorder="1"/>
    <xf numFmtId="0" fontId="7" fillId="3" borderId="0" xfId="0" applyFont="1" applyFill="1" applyBorder="1" applyAlignment="1">
      <alignment horizontal="center"/>
    </xf>
    <xf numFmtId="0" fontId="7" fillId="3" borderId="1" xfId="0" applyFont="1" applyFill="1" applyBorder="1"/>
    <xf numFmtId="0" fontId="7" fillId="3" borderId="1" xfId="0" applyFont="1" applyFill="1" applyBorder="1" applyAlignment="1">
      <alignment horizontal="center"/>
    </xf>
    <xf numFmtId="0" fontId="14" fillId="0" borderId="0" xfId="0" applyFont="1" applyAlignment="1" applyProtection="1">
      <alignment horizontal="left"/>
    </xf>
    <xf numFmtId="0" fontId="15" fillId="0" borderId="0" xfId="0" applyFont="1" applyAlignment="1" applyProtection="1">
      <alignment horizontal="left"/>
    </xf>
    <xf numFmtId="0" fontId="8" fillId="0" borderId="0" xfId="0" applyFont="1" applyFill="1"/>
    <xf numFmtId="0" fontId="7" fillId="0" borderId="0" xfId="0" applyFont="1" applyFill="1" applyBorder="1" applyAlignment="1">
      <alignment horizontal="center"/>
    </xf>
    <xf numFmtId="0" fontId="8" fillId="0" borderId="0" xfId="0" applyFont="1" applyFill="1" applyAlignment="1" applyProtection="1">
      <alignment horizontal="left"/>
    </xf>
    <xf numFmtId="0" fontId="7" fillId="0" borderId="1" xfId="0" applyFont="1" applyBorder="1" applyAlignment="1" applyProtection="1">
      <alignment horizontal="left"/>
    </xf>
    <xf numFmtId="0" fontId="7" fillId="0" borderId="1" xfId="0" applyFont="1" applyBorder="1" applyAlignment="1" applyProtection="1">
      <alignment horizontal="center"/>
    </xf>
    <xf numFmtId="0" fontId="2" fillId="0" borderId="1" xfId="0" applyFont="1" applyBorder="1"/>
    <xf numFmtId="165" fontId="7" fillId="0" borderId="1" xfId="0" applyNumberFormat="1" applyFont="1" applyBorder="1" applyAlignment="1">
      <alignment horizontal="center"/>
    </xf>
    <xf numFmtId="165" fontId="8" fillId="0" borderId="0" xfId="0" applyNumberFormat="1" applyFont="1" applyAlignment="1">
      <alignment horizontal="center"/>
    </xf>
    <xf numFmtId="0" fontId="0" fillId="0" borderId="0" xfId="0" applyAlignment="1">
      <alignment horizontal="left" indent="1"/>
    </xf>
    <xf numFmtId="14" fontId="0" fillId="0" borderId="0" xfId="0" applyNumberFormat="1"/>
    <xf numFmtId="0" fontId="0" fillId="0" borderId="0" xfId="0" applyAlignment="1">
      <alignment horizontal="left" wrapText="1"/>
    </xf>
    <xf numFmtId="0" fontId="16" fillId="0" borderId="0" xfId="0" applyFont="1"/>
    <xf numFmtId="0" fontId="10" fillId="0" borderId="0" xfId="0" applyFont="1" applyFill="1" applyAlignment="1" applyProtection="1">
      <alignment horizontal="left"/>
      <protection hidden="1"/>
    </xf>
    <xf numFmtId="0" fontId="7" fillId="0" borderId="0" xfId="0" applyFont="1" applyFill="1" applyAlignment="1" applyProtection="1">
      <alignment horizontal="center"/>
      <protection hidden="1"/>
    </xf>
    <xf numFmtId="0" fontId="7" fillId="0" borderId="0" xfId="0" applyFont="1" applyFill="1" applyProtection="1">
      <protection hidden="1"/>
    </xf>
    <xf numFmtId="0" fontId="7" fillId="0" borderId="0" xfId="0" applyFont="1" applyFill="1" applyAlignment="1" applyProtection="1">
      <alignment horizontal="left"/>
      <protection hidden="1"/>
    </xf>
    <xf numFmtId="0" fontId="2" fillId="0" borderId="0" xfId="0" applyFont="1" applyFill="1" applyProtection="1">
      <protection hidden="1"/>
    </xf>
    <xf numFmtId="0" fontId="13" fillId="0" borderId="0" xfId="0" applyFont="1" applyFill="1" applyProtection="1">
      <protection hidden="1"/>
    </xf>
    <xf numFmtId="0" fontId="8" fillId="0" borderId="0" xfId="0" applyFont="1" applyFill="1" applyAlignment="1" applyProtection="1">
      <alignment horizontal="left"/>
      <protection hidden="1"/>
    </xf>
    <xf numFmtId="0" fontId="8" fillId="0" borderId="0" xfId="0" applyFont="1" applyFill="1" applyBorder="1" applyProtection="1">
      <protection hidden="1"/>
    </xf>
    <xf numFmtId="0" fontId="8" fillId="0" borderId="1" xfId="0" applyFont="1" applyFill="1" applyBorder="1" applyAlignment="1" applyProtection="1">
      <alignment horizontal="center" wrapText="1"/>
      <protection hidden="1"/>
    </xf>
    <xf numFmtId="0" fontId="8" fillId="0" borderId="1" xfId="0" applyFont="1" applyFill="1" applyBorder="1" applyAlignment="1" applyProtection="1">
      <alignment horizontal="center"/>
      <protection hidden="1"/>
    </xf>
    <xf numFmtId="0" fontId="8" fillId="0" borderId="1" xfId="0" applyFont="1" applyFill="1" applyBorder="1" applyAlignment="1" applyProtection="1">
      <alignment horizontal="left"/>
      <protection hidden="1"/>
    </xf>
    <xf numFmtId="0" fontId="8" fillId="0" borderId="1" xfId="0" applyFont="1" applyFill="1" applyBorder="1" applyAlignment="1" applyProtection="1">
      <alignment horizontal="center" textRotation="90"/>
      <protection hidden="1"/>
    </xf>
    <xf numFmtId="0" fontId="8" fillId="0" borderId="1" xfId="0" applyFont="1" applyFill="1" applyBorder="1" applyProtection="1">
      <protection hidden="1"/>
    </xf>
    <xf numFmtId="49" fontId="7" fillId="0" borderId="0" xfId="0" applyNumberFormat="1" applyFont="1" applyFill="1" applyAlignment="1" applyProtection="1">
      <alignment horizontal="center"/>
      <protection hidden="1"/>
    </xf>
    <xf numFmtId="165" fontId="7" fillId="0" borderId="0" xfId="0" applyNumberFormat="1" applyFont="1" applyFill="1" applyAlignment="1" applyProtection="1">
      <alignment horizontal="center"/>
      <protection hidden="1"/>
    </xf>
    <xf numFmtId="4" fontId="7" fillId="0" borderId="0" xfId="0" applyNumberFormat="1" applyFont="1" applyFill="1" applyAlignment="1" applyProtection="1">
      <alignment horizontal="center"/>
      <protection hidden="1"/>
    </xf>
    <xf numFmtId="0" fontId="1" fillId="0" borderId="0" xfId="0" applyFont="1" applyFill="1" applyProtection="1">
      <protection hidden="1"/>
    </xf>
    <xf numFmtId="0" fontId="8" fillId="0" borderId="0" xfId="0" applyFont="1" applyFill="1" applyProtection="1">
      <protection hidden="1"/>
    </xf>
    <xf numFmtId="0" fontId="7" fillId="0" borderId="0" xfId="0" applyFont="1" applyFill="1" applyAlignment="1" applyProtection="1">
      <protection hidden="1"/>
    </xf>
    <xf numFmtId="0" fontId="7" fillId="0" borderId="0" xfId="0" applyFont="1" applyFill="1" applyBorder="1" applyProtection="1">
      <protection hidden="1"/>
    </xf>
    <xf numFmtId="168" fontId="7" fillId="0" borderId="0" xfId="0" applyNumberFormat="1" applyFont="1" applyFill="1" applyProtection="1">
      <protection hidden="1"/>
    </xf>
    <xf numFmtId="0" fontId="9" fillId="0" borderId="0" xfId="0" applyFont="1" applyFill="1" applyProtection="1">
      <protection hidden="1"/>
    </xf>
    <xf numFmtId="0" fontId="8" fillId="0" borderId="0" xfId="0" applyFont="1" applyFill="1" applyAlignment="1" applyProtection="1">
      <protection hidden="1"/>
    </xf>
    <xf numFmtId="0" fontId="7" fillId="0" borderId="1" xfId="0" applyFont="1" applyFill="1" applyBorder="1" applyProtection="1">
      <protection hidden="1"/>
    </xf>
    <xf numFmtId="0" fontId="7" fillId="0" borderId="1" xfId="0" applyFont="1" applyFill="1" applyBorder="1" applyAlignment="1" applyProtection="1">
      <alignment horizontal="center"/>
      <protection hidden="1"/>
    </xf>
    <xf numFmtId="0" fontId="7" fillId="0" borderId="0" xfId="0" applyFont="1" applyFill="1" applyBorder="1" applyAlignment="1" applyProtection="1">
      <alignment horizontal="center"/>
      <protection hidden="1"/>
    </xf>
    <xf numFmtId="49" fontId="8" fillId="0" borderId="1" xfId="0" applyNumberFormat="1" applyFont="1" applyFill="1" applyBorder="1" applyAlignment="1" applyProtection="1">
      <alignment horizontal="center" wrapText="1"/>
      <protection hidden="1"/>
    </xf>
    <xf numFmtId="0" fontId="0" fillId="0" borderId="0" xfId="0" applyFill="1" applyProtection="1">
      <protection hidden="1"/>
    </xf>
    <xf numFmtId="0" fontId="13" fillId="0" borderId="0" xfId="0" applyFont="1" applyFill="1" applyBorder="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0" xfId="0" applyFont="1" applyFill="1" applyBorder="1" applyAlignment="1" applyProtection="1">
      <alignment horizontal="left"/>
      <protection hidden="1"/>
    </xf>
    <xf numFmtId="49" fontId="1" fillId="0" borderId="0" xfId="0" applyNumberFormat="1" applyFont="1" applyFill="1" applyBorder="1" applyAlignment="1" applyProtection="1">
      <alignment horizontal="center" wrapText="1"/>
      <protection hidden="1"/>
    </xf>
    <xf numFmtId="0" fontId="1" fillId="0" borderId="0" xfId="0" applyFont="1" applyFill="1" applyBorder="1" applyProtection="1">
      <protection hidden="1"/>
    </xf>
    <xf numFmtId="164" fontId="7" fillId="0" borderId="0" xfId="0" applyNumberFormat="1" applyFont="1" applyFill="1" applyAlignment="1" applyProtection="1">
      <alignment horizontal="center"/>
      <protection hidden="1"/>
    </xf>
    <xf numFmtId="164" fontId="2" fillId="0" borderId="0" xfId="0" applyNumberFormat="1" applyFont="1" applyFill="1" applyBorder="1" applyAlignment="1" applyProtection="1">
      <alignment horizontal="center"/>
      <protection hidden="1"/>
    </xf>
    <xf numFmtId="0" fontId="2" fillId="0" borderId="0" xfId="0" applyFont="1" applyFill="1" applyBorder="1" applyAlignment="1" applyProtection="1">
      <alignment horizontal="center"/>
      <protection hidden="1"/>
    </xf>
    <xf numFmtId="0" fontId="2" fillId="0" borderId="0" xfId="0" applyFont="1" applyFill="1" applyBorder="1" applyAlignment="1" applyProtection="1">
      <alignment horizontal="left"/>
      <protection hidden="1"/>
    </xf>
    <xf numFmtId="0" fontId="2" fillId="0" borderId="0" xfId="0" applyFont="1" applyFill="1" applyBorder="1" applyProtection="1">
      <protection hidden="1"/>
    </xf>
    <xf numFmtId="165" fontId="2" fillId="0" borderId="0" xfId="0" applyNumberFormat="1" applyFont="1" applyFill="1" applyBorder="1" applyAlignment="1" applyProtection="1">
      <alignment horizontal="center"/>
      <protection hidden="1"/>
    </xf>
    <xf numFmtId="0" fontId="13" fillId="0" borderId="0" xfId="0" applyFont="1" applyFill="1" applyAlignment="1" applyProtection="1">
      <alignment horizontal="center"/>
      <protection hidden="1"/>
    </xf>
    <xf numFmtId="164" fontId="2" fillId="0" borderId="0" xfId="0" applyNumberFormat="1" applyFont="1" applyFill="1" applyAlignment="1" applyProtection="1">
      <alignment horizontal="center"/>
      <protection hidden="1"/>
    </xf>
    <xf numFmtId="0" fontId="2" fillId="0" borderId="0" xfId="0" applyFont="1" applyFill="1" applyAlignment="1" applyProtection="1">
      <alignment horizontal="center"/>
      <protection hidden="1"/>
    </xf>
    <xf numFmtId="0" fontId="2" fillId="0" borderId="0" xfId="0" applyFont="1" applyFill="1" applyAlignment="1" applyProtection="1">
      <alignment horizontal="left"/>
      <protection hidden="1"/>
    </xf>
    <xf numFmtId="165" fontId="2" fillId="0" borderId="0" xfId="0" applyNumberFormat="1" applyFont="1" applyFill="1" applyAlignment="1" applyProtection="1">
      <alignment horizontal="center"/>
      <protection hidden="1"/>
    </xf>
    <xf numFmtId="0" fontId="14" fillId="0" borderId="0" xfId="0" applyFont="1" applyFill="1" applyAlignment="1" applyProtection="1">
      <alignment horizontal="left"/>
      <protection hidden="1"/>
    </xf>
    <xf numFmtId="165" fontId="2" fillId="0" borderId="0" xfId="0" applyNumberFormat="1" applyFont="1" applyFill="1" applyProtection="1">
      <protection hidden="1"/>
    </xf>
    <xf numFmtId="0" fontId="7" fillId="0" borderId="1" xfId="0" applyFont="1" applyFill="1" applyBorder="1" applyAlignment="1" applyProtection="1">
      <alignment horizontal="left"/>
      <protection hidden="1"/>
    </xf>
    <xf numFmtId="165" fontId="7" fillId="0" borderId="1" xfId="0" applyNumberFormat="1" applyFont="1" applyFill="1" applyBorder="1" applyAlignment="1" applyProtection="1">
      <alignment horizontal="center"/>
      <protection hidden="1"/>
    </xf>
    <xf numFmtId="0" fontId="0" fillId="4" borderId="0" xfId="0" applyFill="1"/>
    <xf numFmtId="10" fontId="7" fillId="4" borderId="0" xfId="0" applyNumberFormat="1" applyFont="1" applyFill="1" applyProtection="1">
      <protection hidden="1"/>
    </xf>
    <xf numFmtId="0" fontId="2" fillId="4" borderId="0" xfId="0" applyFont="1" applyFill="1" applyProtection="1">
      <protection hidden="1"/>
    </xf>
    <xf numFmtId="0" fontId="9" fillId="4" borderId="0" xfId="0" applyFont="1" applyFill="1" applyProtection="1">
      <protection hidden="1"/>
    </xf>
    <xf numFmtId="0" fontId="7" fillId="4" borderId="0" xfId="0" applyFont="1" applyFill="1" applyProtection="1">
      <protection hidden="1"/>
    </xf>
    <xf numFmtId="165" fontId="9" fillId="4" borderId="0" xfId="0" applyNumberFormat="1" applyFont="1" applyFill="1" applyProtection="1">
      <protection hidden="1"/>
    </xf>
    <xf numFmtId="168" fontId="9" fillId="4" borderId="0" xfId="0" applyNumberFormat="1" applyFont="1" applyFill="1" applyProtection="1">
      <protection hidden="1"/>
    </xf>
    <xf numFmtId="168" fontId="7" fillId="4" borderId="0" xfId="0" applyNumberFormat="1" applyFont="1" applyFill="1" applyProtection="1">
      <protection hidden="1"/>
    </xf>
    <xf numFmtId="49" fontId="7" fillId="0" borderId="0" xfId="0" applyNumberFormat="1" applyFont="1" applyFill="1" applyProtection="1">
      <protection hidden="1"/>
    </xf>
    <xf numFmtId="49" fontId="8" fillId="0" borderId="1" xfId="0" applyNumberFormat="1" applyFont="1" applyFill="1" applyBorder="1" applyAlignment="1" applyProtection="1">
      <alignment horizontal="center" textRotation="90"/>
      <protection hidden="1"/>
    </xf>
    <xf numFmtId="49" fontId="7" fillId="0" borderId="0" xfId="0" applyNumberFormat="1" applyFont="1" applyFill="1" applyAlignment="1" applyProtection="1">
      <protection hidden="1"/>
    </xf>
    <xf numFmtId="49" fontId="9" fillId="0" borderId="0" xfId="0" applyNumberFormat="1" applyFont="1" applyFill="1" applyProtection="1">
      <protection hidden="1"/>
    </xf>
    <xf numFmtId="49" fontId="8" fillId="0" borderId="0" xfId="0" applyNumberFormat="1" applyFont="1" applyFill="1" applyAlignment="1" applyProtection="1">
      <protection hidden="1"/>
    </xf>
    <xf numFmtId="49" fontId="7" fillId="0" borderId="0" xfId="0" applyNumberFormat="1" applyFont="1" applyFill="1" applyAlignment="1" applyProtection="1">
      <alignment horizontal="left"/>
      <protection hidden="1"/>
    </xf>
    <xf numFmtId="49" fontId="7" fillId="0" borderId="1" xfId="0" applyNumberFormat="1" applyFont="1" applyFill="1" applyBorder="1" applyProtection="1">
      <protection hidden="1"/>
    </xf>
    <xf numFmtId="49" fontId="7" fillId="0" borderId="0" xfId="0" applyNumberFormat="1" applyFont="1" applyFill="1" applyBorder="1" applyProtection="1">
      <protection hidden="1"/>
    </xf>
    <xf numFmtId="49" fontId="9" fillId="4" borderId="0" xfId="0" applyNumberFormat="1" applyFont="1" applyFill="1" applyProtection="1">
      <protection hidden="1"/>
    </xf>
    <xf numFmtId="0" fontId="0" fillId="4" borderId="0" xfId="0" applyFont="1" applyFill="1"/>
    <xf numFmtId="49" fontId="9" fillId="4" borderId="0" xfId="0" applyNumberFormat="1" applyFont="1" applyFill="1" applyAlignment="1" applyProtection="1">
      <alignment wrapText="1"/>
      <protection hidden="1"/>
    </xf>
    <xf numFmtId="165" fontId="7" fillId="4" borderId="0" xfId="0" applyNumberFormat="1" applyFont="1" applyFill="1" applyAlignment="1" applyProtection="1">
      <alignment wrapText="1"/>
      <protection hidden="1"/>
    </xf>
    <xf numFmtId="0" fontId="12" fillId="2" borderId="3" xfId="0" applyFont="1" applyFill="1" applyBorder="1"/>
    <xf numFmtId="166" fontId="0" fillId="0" borderId="0" xfId="0" applyNumberFormat="1"/>
    <xf numFmtId="0" fontId="0" fillId="0" borderId="0" xfId="0" applyFont="1"/>
    <xf numFmtId="14" fontId="0" fillId="0" borderId="0" xfId="0" applyNumberFormat="1" applyFont="1"/>
    <xf numFmtId="0" fontId="11" fillId="0" borderId="0" xfId="0" applyFont="1"/>
    <xf numFmtId="166" fontId="0" fillId="0" borderId="0" xfId="0" applyNumberFormat="1" applyFont="1"/>
    <xf numFmtId="0" fontId="0" fillId="0" borderId="0" xfId="0" applyFont="1" applyFill="1"/>
    <xf numFmtId="14" fontId="0" fillId="0" borderId="0" xfId="0" applyNumberFormat="1" applyFont="1" applyFill="1"/>
    <xf numFmtId="0" fontId="11" fillId="0" borderId="0" xfId="0" applyFont="1" applyFill="1"/>
    <xf numFmtId="166" fontId="0" fillId="0" borderId="0" xfId="0" applyNumberFormat="1" applyFont="1" applyFill="1"/>
    <xf numFmtId="0" fontId="0" fillId="5" borderId="0" xfId="0" applyFill="1"/>
    <xf numFmtId="14" fontId="0" fillId="5" borderId="0" xfId="0" applyNumberFormat="1" applyFill="1"/>
    <xf numFmtId="166" fontId="0" fillId="5" borderId="0" xfId="0" applyNumberFormat="1" applyFill="1"/>
    <xf numFmtId="0" fontId="7" fillId="4" borderId="0" xfId="0" applyFont="1" applyFill="1" applyAlignment="1" applyProtection="1">
      <alignment horizontal="center"/>
      <protection hidden="1"/>
    </xf>
    <xf numFmtId="0" fontId="7" fillId="4" borderId="0" xfId="0" applyFont="1" applyFill="1" applyAlignment="1" applyProtection="1">
      <alignment horizontal="left"/>
      <protection hidden="1"/>
    </xf>
    <xf numFmtId="165" fontId="7" fillId="4" borderId="0" xfId="0" applyNumberFormat="1" applyFont="1" applyFill="1" applyAlignment="1" applyProtection="1">
      <alignment horizontal="center"/>
      <protection hidden="1"/>
    </xf>
    <xf numFmtId="0" fontId="7" fillId="4" borderId="0" xfId="0" applyFont="1" applyFill="1" applyAlignment="1" applyProtection="1">
      <alignment wrapText="1"/>
      <protection hidden="1"/>
    </xf>
    <xf numFmtId="10" fontId="7" fillId="4" borderId="0" xfId="0" applyNumberFormat="1" applyFont="1" applyFill="1" applyAlignment="1" applyProtection="1">
      <alignment horizontal="left"/>
      <protection hidden="1"/>
    </xf>
    <xf numFmtId="0" fontId="7" fillId="0" borderId="2" xfId="0" applyFont="1" applyFill="1" applyBorder="1" applyProtection="1">
      <protection hidden="1"/>
    </xf>
    <xf numFmtId="165" fontId="7" fillId="0" borderId="2" xfId="0" applyNumberFormat="1" applyFont="1" applyFill="1" applyBorder="1" applyAlignment="1" applyProtection="1">
      <alignment horizontal="center"/>
      <protection hidden="1"/>
    </xf>
    <xf numFmtId="0" fontId="7" fillId="0" borderId="2" xfId="0" applyFont="1" applyFill="1" applyBorder="1" applyAlignment="1" applyProtection="1">
      <alignment horizontal="center"/>
      <protection hidden="1"/>
    </xf>
    <xf numFmtId="165" fontId="7" fillId="0" borderId="0" xfId="0" applyNumberFormat="1" applyFont="1" applyFill="1" applyProtection="1">
      <protection hidden="1"/>
    </xf>
    <xf numFmtId="0" fontId="8" fillId="4" borderId="1" xfId="0" applyFont="1" applyFill="1" applyBorder="1" applyProtection="1">
      <protection hidden="1"/>
    </xf>
    <xf numFmtId="0" fontId="18" fillId="4" borderId="1" xfId="0" applyFont="1" applyFill="1" applyBorder="1" applyProtection="1">
      <protection hidden="1"/>
    </xf>
    <xf numFmtId="0" fontId="19" fillId="4" borderId="0" xfId="0" applyFont="1" applyFill="1" applyAlignment="1">
      <alignment vertical="center"/>
    </xf>
    <xf numFmtId="0" fontId="9" fillId="4" borderId="0" xfId="0" applyFont="1" applyFill="1" applyAlignment="1" applyProtection="1">
      <alignment horizontal="center"/>
      <protection hidden="1"/>
    </xf>
    <xf numFmtId="0" fontId="18" fillId="4" borderId="1" xfId="0" applyFont="1" applyFill="1" applyBorder="1" applyAlignment="1" applyProtection="1">
      <alignment horizontal="center"/>
      <protection hidden="1"/>
    </xf>
    <xf numFmtId="165" fontId="9" fillId="4" borderId="0" xfId="0" applyNumberFormat="1" applyFont="1" applyFill="1" applyAlignment="1" applyProtection="1">
      <alignment horizontal="center"/>
      <protection hidden="1"/>
    </xf>
    <xf numFmtId="165" fontId="9" fillId="4" borderId="0" xfId="0" applyNumberFormat="1" applyFont="1" applyFill="1" applyAlignment="1" applyProtection="1">
      <alignment horizontal="center" vertical="center"/>
      <protection hidden="1"/>
    </xf>
    <xf numFmtId="0" fontId="8" fillId="4" borderId="1" xfId="0" applyFont="1" applyFill="1" applyBorder="1" applyAlignment="1" applyProtection="1">
      <alignment horizontal="center"/>
      <protection hidden="1"/>
    </xf>
    <xf numFmtId="0" fontId="18" fillId="0" borderId="0" xfId="0" applyFont="1" applyFill="1" applyBorder="1" applyAlignment="1" applyProtection="1">
      <alignment horizontal="left"/>
      <protection hidden="1"/>
    </xf>
    <xf numFmtId="0" fontId="9" fillId="0" borderId="0" xfId="0" applyFont="1" applyFill="1" applyBorder="1" applyAlignment="1" applyProtection="1">
      <alignment horizontal="left"/>
      <protection hidden="1"/>
    </xf>
    <xf numFmtId="0" fontId="9" fillId="0" borderId="0" xfId="0" applyFont="1" applyFill="1" applyAlignment="1" applyProtection="1">
      <alignment horizontal="left"/>
      <protection hidden="1"/>
    </xf>
    <xf numFmtId="169" fontId="9" fillId="0" borderId="0" xfId="0" applyNumberFormat="1" applyFont="1" applyFill="1" applyProtection="1">
      <protection hidden="1"/>
    </xf>
    <xf numFmtId="0" fontId="9" fillId="6" borderId="0" xfId="0" applyFont="1" applyFill="1" applyProtection="1">
      <protection hidden="1"/>
    </xf>
    <xf numFmtId="0" fontId="9" fillId="6" borderId="0" xfId="0" applyFont="1" applyFill="1" applyAlignment="1" applyProtection="1">
      <alignment horizontal="center"/>
      <protection hidden="1"/>
    </xf>
    <xf numFmtId="10" fontId="7" fillId="6" borderId="0" xfId="0" applyNumberFormat="1" applyFont="1" applyFill="1" applyAlignment="1" applyProtection="1">
      <alignment horizontal="left"/>
      <protection hidden="1"/>
    </xf>
    <xf numFmtId="0" fontId="7" fillId="6" borderId="0" xfId="0" applyFont="1" applyFill="1" applyProtection="1">
      <protection hidden="1"/>
    </xf>
    <xf numFmtId="0" fontId="7" fillId="6" borderId="0" xfId="0" applyFont="1" applyFill="1" applyAlignment="1" applyProtection="1">
      <alignment horizontal="center"/>
      <protection hidden="1"/>
    </xf>
    <xf numFmtId="0" fontId="8" fillId="6" borderId="1" xfId="0" applyFont="1" applyFill="1" applyBorder="1" applyProtection="1">
      <protection hidden="1"/>
    </xf>
    <xf numFmtId="0" fontId="8" fillId="6" borderId="1" xfId="0" applyFont="1" applyFill="1" applyBorder="1" applyAlignment="1" applyProtection="1">
      <alignment horizontal="center"/>
      <protection hidden="1"/>
    </xf>
    <xf numFmtId="0" fontId="18" fillId="6" borderId="1" xfId="0" applyFont="1" applyFill="1" applyBorder="1" applyProtection="1">
      <protection hidden="1"/>
    </xf>
    <xf numFmtId="0" fontId="18" fillId="6" borderId="1" xfId="0" applyFont="1" applyFill="1" applyBorder="1" applyAlignment="1" applyProtection="1">
      <alignment horizontal="center"/>
      <protection hidden="1"/>
    </xf>
    <xf numFmtId="49" fontId="9" fillId="6" borderId="0" xfId="0" applyNumberFormat="1" applyFont="1" applyFill="1" applyProtection="1">
      <protection hidden="1"/>
    </xf>
    <xf numFmtId="165" fontId="9" fillId="6" borderId="0" xfId="0" applyNumberFormat="1" applyFont="1" applyFill="1" applyAlignment="1" applyProtection="1">
      <alignment horizontal="center"/>
      <protection hidden="1"/>
    </xf>
    <xf numFmtId="0" fontId="0" fillId="6" borderId="0" xfId="0" applyFill="1"/>
    <xf numFmtId="0" fontId="0" fillId="6" borderId="0" xfId="0" applyFill="1" applyAlignment="1">
      <alignment horizontal="center"/>
    </xf>
    <xf numFmtId="0" fontId="0" fillId="6" borderId="0" xfId="0" applyFont="1" applyFill="1"/>
    <xf numFmtId="49" fontId="9" fillId="6" borderId="0" xfId="0" applyNumberFormat="1" applyFont="1" applyFill="1" applyAlignment="1" applyProtection="1">
      <alignment wrapText="1"/>
      <protection hidden="1"/>
    </xf>
    <xf numFmtId="0" fontId="7" fillId="6" borderId="0" xfId="0" applyFont="1" applyFill="1" applyAlignment="1" applyProtection="1">
      <alignment wrapText="1"/>
      <protection hidden="1"/>
    </xf>
    <xf numFmtId="0" fontId="9" fillId="6" borderId="0" xfId="0" applyFont="1" applyFill="1" applyAlignment="1" applyProtection="1">
      <alignment horizontal="center" wrapText="1"/>
      <protection hidden="1"/>
    </xf>
    <xf numFmtId="0" fontId="2" fillId="6" borderId="0" xfId="0" applyFont="1" applyFill="1" applyProtection="1">
      <protection hidden="1"/>
    </xf>
    <xf numFmtId="0" fontId="19" fillId="6" borderId="0" xfId="0" applyFont="1" applyFill="1" applyAlignment="1">
      <alignment vertical="top"/>
    </xf>
    <xf numFmtId="0" fontId="19" fillId="6" borderId="0" xfId="0" applyFont="1" applyFill="1" applyAlignment="1">
      <alignment horizontal="center" vertical="top"/>
    </xf>
    <xf numFmtId="0" fontId="2" fillId="4" borderId="0" xfId="0" applyFont="1" applyFill="1" applyAlignment="1" applyProtection="1">
      <alignment horizontal="center"/>
      <protection hidden="1"/>
    </xf>
    <xf numFmtId="49" fontId="9" fillId="4" borderId="0" xfId="0" applyNumberFormat="1" applyFont="1" applyFill="1" applyAlignment="1" applyProtection="1">
      <alignment horizontal="center"/>
      <protection hidden="1"/>
    </xf>
    <xf numFmtId="0" fontId="2" fillId="4" borderId="0" xfId="0" applyFont="1" applyFill="1" applyAlignment="1" applyProtection="1">
      <alignment horizontal="left"/>
      <protection hidden="1"/>
    </xf>
    <xf numFmtId="0" fontId="9" fillId="4" borderId="0" xfId="0" applyFont="1" applyFill="1" applyAlignment="1" applyProtection="1">
      <alignment vertical="top"/>
      <protection hidden="1"/>
    </xf>
    <xf numFmtId="0" fontId="9" fillId="4" borderId="0" xfId="0" applyFont="1" applyFill="1" applyAlignment="1" applyProtection="1">
      <alignment horizontal="center" vertical="top"/>
      <protection hidden="1"/>
    </xf>
    <xf numFmtId="49" fontId="9" fillId="4" borderId="0" xfId="0" applyNumberFormat="1" applyFont="1" applyFill="1" applyAlignment="1" applyProtection="1">
      <alignment horizontal="center" vertical="top"/>
      <protection hidden="1"/>
    </xf>
    <xf numFmtId="165" fontId="9" fillId="4" borderId="0" xfId="0" applyNumberFormat="1" applyFont="1" applyFill="1" applyAlignment="1" applyProtection="1">
      <alignment vertical="top"/>
      <protection hidden="1"/>
    </xf>
    <xf numFmtId="10" fontId="9" fillId="6" borderId="0" xfId="0" applyNumberFormat="1" applyFont="1" applyFill="1" applyAlignment="1" applyProtection="1">
      <alignment horizontal="left"/>
      <protection hidden="1"/>
    </xf>
    <xf numFmtId="0" fontId="2" fillId="6" borderId="0" xfId="0" applyFont="1" applyFill="1" applyAlignment="1" applyProtection="1">
      <alignment horizontal="center"/>
      <protection hidden="1"/>
    </xf>
    <xf numFmtId="170" fontId="9" fillId="6" borderId="0" xfId="0" applyNumberFormat="1" applyFont="1" applyFill="1" applyAlignment="1" applyProtection="1">
      <alignment horizontal="center"/>
      <protection hidden="1"/>
    </xf>
    <xf numFmtId="9" fontId="9" fillId="6" borderId="0" xfId="0" applyNumberFormat="1" applyFont="1" applyFill="1" applyAlignment="1" applyProtection="1">
      <alignment horizontal="center"/>
      <protection hidden="1"/>
    </xf>
    <xf numFmtId="8" fontId="9" fillId="6" borderId="0" xfId="0" applyNumberFormat="1" applyFont="1" applyFill="1" applyAlignment="1" applyProtection="1">
      <alignment horizontal="center"/>
      <protection hidden="1"/>
    </xf>
    <xf numFmtId="168" fontId="7" fillId="0" borderId="0" xfId="0" applyNumberFormat="1" applyFont="1" applyFill="1" applyAlignment="1" applyProtection="1">
      <alignment horizontal="center"/>
      <protection hidden="1"/>
    </xf>
    <xf numFmtId="8" fontId="9" fillId="4" borderId="0" xfId="0" applyNumberFormat="1" applyFont="1" applyFill="1" applyProtection="1">
      <protection hidden="1"/>
    </xf>
    <xf numFmtId="170" fontId="9" fillId="4" borderId="0" xfId="0" applyNumberFormat="1" applyFont="1" applyFill="1" applyProtection="1">
      <protection hidden="1"/>
    </xf>
    <xf numFmtId="165" fontId="9" fillId="6" borderId="0" xfId="0" applyNumberFormat="1" applyFont="1" applyFill="1" applyAlignment="1" applyProtection="1">
      <alignment horizontal="left"/>
      <protection hidden="1"/>
    </xf>
    <xf numFmtId="168" fontId="9" fillId="6" borderId="0" xfId="0" applyNumberFormat="1" applyFont="1" applyFill="1" applyAlignment="1" applyProtection="1">
      <alignment horizontal="center"/>
      <protection hidden="1"/>
    </xf>
    <xf numFmtId="0" fontId="22" fillId="0" borderId="0" xfId="0" applyFont="1" applyFill="1" applyAlignment="1" applyProtection="1">
      <alignment horizontal="left"/>
      <protection hidden="1"/>
    </xf>
    <xf numFmtId="0" fontId="23" fillId="0" borderId="0" xfId="0" applyFont="1" applyFill="1" applyAlignment="1" applyProtection="1">
      <alignment horizontal="left"/>
      <protection hidden="1"/>
    </xf>
    <xf numFmtId="0" fontId="7" fillId="0" borderId="0" xfId="0" applyFont="1" applyFill="1" applyAlignment="1" applyProtection="1">
      <alignment horizontal="left" wrapText="1"/>
      <protection hidden="1"/>
    </xf>
    <xf numFmtId="0" fontId="24" fillId="0" borderId="0" xfId="0" applyFont="1" applyFill="1" applyProtection="1">
      <protection hidden="1"/>
    </xf>
    <xf numFmtId="0" fontId="24" fillId="6" borderId="0" xfId="0" applyFont="1" applyFill="1" applyProtection="1">
      <protection hidden="1"/>
    </xf>
    <xf numFmtId="0" fontId="24" fillId="6" borderId="0" xfId="0" applyFont="1" applyFill="1" applyAlignment="1" applyProtection="1">
      <alignment horizontal="center"/>
      <protection hidden="1"/>
    </xf>
    <xf numFmtId="0" fontId="25" fillId="6" borderId="0" xfId="0" applyFont="1" applyFill="1" applyProtection="1">
      <protection hidden="1"/>
    </xf>
    <xf numFmtId="0" fontId="25" fillId="6" borderId="0" xfId="0" applyFont="1" applyFill="1" applyAlignment="1" applyProtection="1">
      <alignment horizontal="center"/>
      <protection hidden="1"/>
    </xf>
    <xf numFmtId="0" fontId="26" fillId="4" borderId="0" xfId="0" applyFont="1" applyFill="1" applyProtection="1">
      <protection hidden="1"/>
    </xf>
    <xf numFmtId="0" fontId="26" fillId="4" borderId="0" xfId="0" applyFont="1" applyFill="1" applyAlignment="1" applyProtection="1">
      <alignment horizontal="center"/>
      <protection hidden="1"/>
    </xf>
    <xf numFmtId="0" fontId="26" fillId="0" borderId="0" xfId="0" applyFont="1" applyFill="1" applyProtection="1">
      <protection hidden="1"/>
    </xf>
    <xf numFmtId="0" fontId="10" fillId="0" borderId="0" xfId="0" applyFont="1" applyFill="1" applyProtection="1">
      <protection hidden="1"/>
    </xf>
    <xf numFmtId="0" fontId="27" fillId="0" borderId="0" xfId="0" applyFont="1" applyFill="1" applyProtection="1">
      <protection hidden="1"/>
    </xf>
    <xf numFmtId="0" fontId="7" fillId="0" borderId="0" xfId="0" applyFont="1" applyFill="1" applyAlignment="1" applyProtection="1">
      <alignment horizontal="left" wrapText="1"/>
      <protection hidden="1"/>
    </xf>
    <xf numFmtId="9" fontId="9" fillId="0" borderId="0" xfId="7" applyFont="1" applyFill="1" applyProtection="1">
      <protection hidden="1"/>
    </xf>
    <xf numFmtId="0" fontId="7" fillId="7" borderId="0" xfId="0" applyFont="1" applyFill="1" applyProtection="1">
      <protection hidden="1"/>
    </xf>
    <xf numFmtId="0" fontId="7" fillId="7" borderId="0" xfId="0" applyFont="1" applyFill="1" applyAlignment="1" applyProtection="1">
      <alignment horizontal="center"/>
      <protection hidden="1"/>
    </xf>
    <xf numFmtId="49" fontId="9" fillId="7" borderId="0" xfId="0" applyNumberFormat="1" applyFont="1" applyFill="1" applyAlignment="1" applyProtection="1">
      <alignment wrapText="1"/>
      <protection hidden="1"/>
    </xf>
    <xf numFmtId="165" fontId="9" fillId="7" borderId="0" xfId="0" applyNumberFormat="1" applyFont="1" applyFill="1" applyAlignment="1" applyProtection="1">
      <alignment horizontal="center"/>
      <protection hidden="1"/>
    </xf>
    <xf numFmtId="0" fontId="2" fillId="7" borderId="0" xfId="0" applyFont="1" applyFill="1" applyProtection="1">
      <protection hidden="1"/>
    </xf>
    <xf numFmtId="170" fontId="9" fillId="0" borderId="0" xfId="7" applyNumberFormat="1" applyFont="1" applyFill="1" applyProtection="1">
      <protection hidden="1"/>
    </xf>
    <xf numFmtId="0" fontId="7" fillId="0" borderId="0" xfId="0" applyFont="1" applyFill="1" applyAlignment="1" applyProtection="1">
      <alignment horizontal="left" wrapText="1"/>
      <protection hidden="1"/>
    </xf>
    <xf numFmtId="0" fontId="19"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cellXfs>
  <cellStyles count="8">
    <cellStyle name="Normal" xfId="0" builtinId="0"/>
    <cellStyle name="Normal 2" xfId="6" xr:uid="{00000000-0005-0000-0000-000001000000}"/>
    <cellStyle name="Percent" xfId="7" builtinId="5"/>
    <cellStyle name="PSChar" xfId="1" xr:uid="{00000000-0005-0000-0000-000002000000}"/>
    <cellStyle name="PSDate" xfId="2" xr:uid="{00000000-0005-0000-0000-000003000000}"/>
    <cellStyle name="PSDec" xfId="3" xr:uid="{00000000-0005-0000-0000-000004000000}"/>
    <cellStyle name="PSHeading" xfId="4" xr:uid="{00000000-0005-0000-0000-000005000000}"/>
    <cellStyle name="PSInt" xfId="5" xr:uid="{00000000-0005-0000-0000-000006000000}"/>
  </cellStyles>
  <dxfs count="0"/>
  <tableStyles count="1" defaultTableStyle="TableStyleMedium2" defaultPivotStyle="PivotStyleLight16">
    <tableStyle name="Invisible" pivot="0" table="0" count="0" xr9:uid="{B3063E90-9C19-4266-8671-20ED619363F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4"/>
  <sheetViews>
    <sheetView workbookViewId="0">
      <selection activeCell="L14" sqref="L14"/>
    </sheetView>
  </sheetViews>
  <sheetFormatPr defaultColWidth="10.265625" defaultRowHeight="14.25" x14ac:dyDescent="0.45"/>
  <cols>
    <col min="1" max="1" width="35.1328125" style="47" customWidth="1"/>
    <col min="2" max="2" width="10.1328125" style="47" customWidth="1"/>
    <col min="3" max="3" width="9.1328125" style="47" customWidth="1"/>
    <col min="4" max="4" width="8.73046875" style="47" customWidth="1"/>
    <col min="5" max="5" width="10.265625" style="47" customWidth="1"/>
    <col min="6" max="6" width="5.265625" style="48" customWidth="1"/>
    <col min="7" max="7" width="9.73046875" style="49" customWidth="1"/>
    <col min="8" max="8" width="10.3984375" style="50" customWidth="1"/>
    <col min="9" max="9" width="11.59765625" style="51" customWidth="1"/>
    <col min="10" max="10" width="8.3984375" style="52" customWidth="1"/>
    <col min="11" max="11" width="12.59765625" style="48" customWidth="1"/>
    <col min="12" max="12" width="6.73046875" style="47" customWidth="1"/>
    <col min="13" max="13" width="10.73046875" style="48" customWidth="1"/>
    <col min="14" max="14" width="12.1328125" style="47" customWidth="1"/>
    <col min="15" max="15" width="10" style="49" customWidth="1"/>
    <col min="16" max="16" width="10.59765625" style="47" customWidth="1"/>
    <col min="17" max="16384" width="10.265625" style="47"/>
  </cols>
  <sheetData>
    <row r="1" spans="1:16" ht="15" thickTop="1" thickBot="1" x14ac:dyDescent="0.5">
      <c r="A1" s="46" t="s">
        <v>0</v>
      </c>
      <c r="B1" s="47" t="s">
        <v>1</v>
      </c>
    </row>
    <row r="2" spans="1:16" ht="15" thickTop="1" thickBot="1" x14ac:dyDescent="0.5">
      <c r="A2" s="46" t="s">
        <v>2</v>
      </c>
      <c r="B2" s="46" t="s">
        <v>3</v>
      </c>
      <c r="C2" s="46" t="s">
        <v>4</v>
      </c>
      <c r="D2" s="46" t="s">
        <v>5</v>
      </c>
      <c r="E2" s="46" t="s">
        <v>6</v>
      </c>
      <c r="F2" s="46" t="s">
        <v>7</v>
      </c>
      <c r="G2" s="46" t="s">
        <v>8</v>
      </c>
      <c r="H2" s="46" t="s">
        <v>9</v>
      </c>
      <c r="I2" s="46" t="s">
        <v>10</v>
      </c>
      <c r="J2" s="46" t="s">
        <v>11</v>
      </c>
      <c r="K2" s="46" t="s">
        <v>12</v>
      </c>
      <c r="L2" s="46" t="s">
        <v>13</v>
      </c>
      <c r="M2" s="46" t="s">
        <v>14</v>
      </c>
      <c r="N2" s="46" t="s">
        <v>15</v>
      </c>
      <c r="O2" s="46" t="s">
        <v>16</v>
      </c>
      <c r="P2" s="46" t="s">
        <v>17</v>
      </c>
    </row>
    <row r="3" spans="1:16" ht="14.65" thickTop="1" x14ac:dyDescent="0.45">
      <c r="A3" s="47" t="s">
        <v>18</v>
      </c>
      <c r="B3" s="47" t="s">
        <v>19</v>
      </c>
      <c r="C3" s="47" t="s">
        <v>20</v>
      </c>
      <c r="D3" s="47" t="s">
        <v>21</v>
      </c>
      <c r="E3" s="47" t="s">
        <v>22</v>
      </c>
      <c r="F3" s="48">
        <v>1</v>
      </c>
      <c r="G3" s="49">
        <v>29.965</v>
      </c>
      <c r="H3" s="50">
        <v>62327.199999999997</v>
      </c>
      <c r="I3" s="51">
        <v>40</v>
      </c>
      <c r="J3" s="52">
        <v>42743</v>
      </c>
      <c r="K3" s="48">
        <v>6</v>
      </c>
      <c r="L3" s="47" t="s">
        <v>22</v>
      </c>
      <c r="M3" s="48">
        <v>293</v>
      </c>
      <c r="N3" s="47" t="s">
        <v>21</v>
      </c>
      <c r="O3" s="49">
        <v>29.965</v>
      </c>
    </row>
    <row r="4" spans="1:16" x14ac:dyDescent="0.45">
      <c r="A4" s="47" t="s">
        <v>18</v>
      </c>
      <c r="B4" s="47" t="s">
        <v>23</v>
      </c>
      <c r="C4" s="47" t="s">
        <v>24</v>
      </c>
      <c r="D4" s="47" t="s">
        <v>21</v>
      </c>
      <c r="E4" s="47" t="s">
        <v>25</v>
      </c>
      <c r="F4" s="48">
        <v>1</v>
      </c>
      <c r="G4" s="49">
        <v>33.363</v>
      </c>
      <c r="H4" s="50">
        <v>69395.039999999994</v>
      </c>
      <c r="I4" s="51">
        <v>40</v>
      </c>
      <c r="J4" s="52">
        <v>42743</v>
      </c>
      <c r="K4" s="48">
        <v>7</v>
      </c>
      <c r="L4" s="47" t="s">
        <v>25</v>
      </c>
      <c r="M4" s="48">
        <v>323</v>
      </c>
      <c r="N4" s="47" t="s">
        <v>21</v>
      </c>
      <c r="O4" s="49">
        <v>33.363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D896B-52AF-4ACA-A2AA-076585C1B23E}">
  <sheetPr codeName="Sheet11"/>
  <dimension ref="A1:Z75"/>
  <sheetViews>
    <sheetView showGridLines="0" topLeftCell="A29" workbookViewId="0">
      <selection activeCell="B37" sqref="B37:C43"/>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bestFit="1" customWidth="1"/>
    <col min="13" max="13" width="5.59765625" style="84"/>
    <col min="14" max="14" width="13.265625" style="187" customWidth="1"/>
    <col min="15" max="15" width="13.265625" style="188" customWidth="1"/>
    <col min="16" max="16" width="27.3984375" style="184" customWidth="1"/>
    <col min="17" max="17" width="15.86328125" style="185" customWidth="1"/>
    <col min="18" max="18" width="13.265625" style="132" customWidth="1"/>
    <col min="19" max="19" width="7.59765625" style="204" customWidth="1"/>
    <col min="20" max="20" width="22" style="132" customWidth="1"/>
    <col min="21" max="21" width="9.3984375" style="204" customWidth="1"/>
    <col min="22" max="22" width="7.59765625" style="132" customWidth="1"/>
    <col min="23" max="23" width="8.265625" style="86" customWidth="1"/>
    <col min="24" max="24" width="9.3984375" style="86" customWidth="1"/>
    <col min="25" max="26" width="5.59765625" style="86"/>
    <col min="27" max="16384" width="5.59765625" style="84"/>
  </cols>
  <sheetData>
    <row r="1" spans="1:26" s="224" customFormat="1" ht="15.75" x14ac:dyDescent="0.5">
      <c r="A1" s="232" t="s">
        <v>182</v>
      </c>
      <c r="N1" s="225"/>
      <c r="O1" s="226"/>
      <c r="P1" s="227"/>
      <c r="Q1" s="228"/>
      <c r="R1" s="229"/>
      <c r="S1" s="230"/>
      <c r="T1" s="229"/>
      <c r="U1" s="230"/>
      <c r="V1" s="229"/>
      <c r="W1" s="231"/>
      <c r="X1" s="231"/>
      <c r="Y1" s="231"/>
      <c r="Z1" s="231"/>
    </row>
    <row r="2" spans="1:26" s="86" customFormat="1" ht="15.75" x14ac:dyDescent="0.5">
      <c r="A2" s="82" t="s">
        <v>26</v>
      </c>
      <c r="B2" s="83"/>
      <c r="C2" s="83"/>
      <c r="D2" s="84"/>
      <c r="E2" s="84"/>
      <c r="F2" s="84"/>
      <c r="G2" s="85" t="s">
        <v>27</v>
      </c>
      <c r="H2" s="83"/>
      <c r="I2" s="84"/>
      <c r="J2" s="84"/>
      <c r="K2" s="84"/>
      <c r="M2" s="84"/>
      <c r="N2" s="184" t="s">
        <v>214</v>
      </c>
      <c r="O2" s="185"/>
      <c r="P2" s="186">
        <v>1.0249999999999999</v>
      </c>
      <c r="Q2" s="185"/>
      <c r="R2" s="132"/>
      <c r="S2" s="204"/>
      <c r="T2" s="132"/>
      <c r="U2" s="204"/>
      <c r="V2" s="132"/>
    </row>
    <row r="3" spans="1:26" s="86" customFormat="1" x14ac:dyDescent="0.45">
      <c r="A3" s="88" t="s">
        <v>28</v>
      </c>
      <c r="B3" s="83"/>
      <c r="C3" s="83"/>
      <c r="D3" s="84"/>
      <c r="E3" s="84"/>
      <c r="F3" s="84"/>
      <c r="G3" s="84"/>
      <c r="H3" s="83"/>
      <c r="I3" s="84"/>
      <c r="J3" s="84"/>
      <c r="K3" s="84"/>
      <c r="L3" s="84"/>
      <c r="M3" s="84"/>
      <c r="N3" s="184" t="s">
        <v>215</v>
      </c>
      <c r="O3" s="201"/>
      <c r="P3" s="211">
        <v>1.02</v>
      </c>
      <c r="Q3" s="185"/>
      <c r="R3" s="132"/>
      <c r="S3" s="204"/>
      <c r="T3" s="132"/>
      <c r="U3" s="204"/>
      <c r="V3" s="132"/>
    </row>
    <row r="4" spans="1:26" s="86" customFormat="1" x14ac:dyDescent="0.45">
      <c r="A4" s="89" t="s">
        <v>216</v>
      </c>
      <c r="B4" s="83"/>
      <c r="C4" s="83"/>
      <c r="D4" s="84"/>
      <c r="E4" s="84"/>
      <c r="F4" s="84"/>
      <c r="G4" s="84"/>
      <c r="H4" s="83"/>
      <c r="I4" s="84"/>
      <c r="J4" s="84"/>
      <c r="K4" s="84"/>
      <c r="L4" s="84"/>
      <c r="M4" s="84"/>
      <c r="N4" s="187" t="s">
        <v>186</v>
      </c>
      <c r="O4" s="188"/>
      <c r="P4" s="184" t="s">
        <v>217</v>
      </c>
      <c r="Q4" s="185"/>
      <c r="R4" s="132"/>
      <c r="S4" s="204"/>
      <c r="T4" s="132"/>
      <c r="U4" s="204"/>
      <c r="V4" s="132"/>
    </row>
    <row r="5" spans="1:26" s="86" customFormat="1" x14ac:dyDescent="0.45">
      <c r="A5" s="222" t="s">
        <v>188</v>
      </c>
      <c r="B5" s="83"/>
      <c r="C5" s="83"/>
      <c r="D5" s="84"/>
      <c r="E5" s="84"/>
      <c r="F5" s="84"/>
      <c r="G5" s="84"/>
      <c r="H5" s="83"/>
      <c r="I5" s="84"/>
      <c r="J5" s="84"/>
      <c r="K5" s="84"/>
      <c r="L5" s="84"/>
      <c r="M5" s="84"/>
      <c r="N5" s="187"/>
      <c r="O5" s="188"/>
      <c r="P5" s="184"/>
      <c r="Q5" s="185"/>
      <c r="R5" s="132"/>
      <c r="S5" s="204"/>
      <c r="T5" s="132"/>
      <c r="U5" s="204"/>
      <c r="V5" s="132"/>
    </row>
    <row r="6" spans="1:26" s="86" customFormat="1" x14ac:dyDescent="0.45">
      <c r="A6" s="221"/>
      <c r="B6" s="83"/>
      <c r="C6" s="83"/>
      <c r="D6" s="84"/>
      <c r="E6" s="84"/>
      <c r="F6" s="84"/>
      <c r="G6" s="84"/>
      <c r="H6" s="83"/>
      <c r="I6" s="84"/>
      <c r="J6" s="84"/>
      <c r="K6" s="84"/>
      <c r="L6" s="84"/>
      <c r="M6" s="84"/>
      <c r="N6" s="187"/>
      <c r="O6" s="188"/>
      <c r="P6" s="184"/>
      <c r="Q6" s="185"/>
      <c r="R6" s="132"/>
      <c r="S6" s="204"/>
      <c r="T6" s="132"/>
      <c r="U6" s="204"/>
      <c r="V6" s="132"/>
    </row>
    <row r="7" spans="1:26" s="86" customFormat="1" x14ac:dyDescent="0.45">
      <c r="A7" s="88" t="str">
        <f>"Group 1: (CPT) Permanent Employees ("&amp;TEXT(P2-100%,"##.0%")&amp;" increase)"</f>
        <v>Group 1: (CPT) Permanent Employees (2.5% increase)</v>
      </c>
      <c r="B7" s="83"/>
      <c r="C7" s="83"/>
      <c r="D7" s="84"/>
      <c r="E7" s="84"/>
      <c r="F7" s="84"/>
      <c r="G7" s="84"/>
      <c r="H7" s="83"/>
      <c r="I7" s="84"/>
      <c r="J7" s="84"/>
      <c r="K7" s="84"/>
      <c r="L7" s="84"/>
      <c r="M7" s="84"/>
      <c r="N7" s="187"/>
      <c r="O7" s="188"/>
      <c r="P7" s="184"/>
      <c r="Q7" s="185"/>
      <c r="R7" s="132"/>
      <c r="S7" s="204"/>
      <c r="T7" s="132"/>
      <c r="U7" s="204"/>
      <c r="V7" s="132"/>
    </row>
    <row r="8" spans="1:26" s="86" customFormat="1" ht="62.65" x14ac:dyDescent="0.45">
      <c r="A8" s="90" t="s">
        <v>31</v>
      </c>
      <c r="B8" s="91" t="s">
        <v>101</v>
      </c>
      <c r="C8" s="92" t="s">
        <v>102</v>
      </c>
      <c r="D8" s="91" t="s">
        <v>103</v>
      </c>
      <c r="E8" s="93" t="s">
        <v>12</v>
      </c>
      <c r="F8" s="93" t="s">
        <v>32</v>
      </c>
      <c r="G8" s="90" t="s">
        <v>104</v>
      </c>
      <c r="H8" s="90" t="s">
        <v>105</v>
      </c>
      <c r="I8" s="94"/>
      <c r="J8" s="94"/>
      <c r="K8" s="84"/>
      <c r="L8" s="84"/>
      <c r="M8" s="84"/>
      <c r="N8" s="189" t="s">
        <v>3</v>
      </c>
      <c r="O8" s="190" t="s">
        <v>190</v>
      </c>
      <c r="P8" s="191" t="s">
        <v>6</v>
      </c>
      <c r="Q8" s="192" t="s">
        <v>155</v>
      </c>
      <c r="R8" s="172" t="s">
        <v>3</v>
      </c>
      <c r="S8" s="179" t="s">
        <v>190</v>
      </c>
      <c r="T8" s="172" t="s">
        <v>191</v>
      </c>
      <c r="U8" s="176" t="s">
        <v>6</v>
      </c>
      <c r="V8" s="176" t="s">
        <v>155</v>
      </c>
    </row>
    <row r="9" spans="1:26" s="86" customFormat="1" x14ac:dyDescent="0.45">
      <c r="A9" s="83" t="s">
        <v>39</v>
      </c>
      <c r="B9" s="83" t="s">
        <v>19</v>
      </c>
      <c r="C9" s="84" t="s">
        <v>41</v>
      </c>
      <c r="D9" s="83">
        <v>293</v>
      </c>
      <c r="E9" s="83">
        <v>6</v>
      </c>
      <c r="F9" s="95" t="s">
        <v>22</v>
      </c>
      <c r="G9" s="83" t="s">
        <v>42</v>
      </c>
      <c r="H9" s="96">
        <f ca="1">Q9</f>
        <v>36.859901615624985</v>
      </c>
      <c r="I9" s="84"/>
      <c r="J9" s="84"/>
      <c r="K9" s="84"/>
      <c r="L9" s="84"/>
      <c r="M9" s="84"/>
      <c r="N9" s="187" t="str">
        <f>B9</f>
        <v>08310C</v>
      </c>
      <c r="O9" s="188" t="s">
        <v>192</v>
      </c>
      <c r="P9" s="193" t="s">
        <v>40</v>
      </c>
      <c r="Q9" s="194" cm="1">
        <f t="array" aca="1" ref="Q9" ca="1">IF(O9="Y",VLOOKUP(N9,INDIRECT(P$4),4,0)*INDIRECT(N$2),VLOOKUP(N9,INDIRECT(P$4),4,0))</f>
        <v>36.859901615624985</v>
      </c>
      <c r="R9" s="133" t="str">
        <f>N9</f>
        <v>08310C</v>
      </c>
      <c r="S9" s="175" t="str">
        <f>O9</f>
        <v>Y</v>
      </c>
      <c r="T9" s="133" t="str">
        <f>C9</f>
        <v>Production Technician I</v>
      </c>
      <c r="U9" s="205" t="str">
        <f>P9</f>
        <v>CPT 01</v>
      </c>
      <c r="V9" s="135">
        <f ca="1">ROUND(Q9,3)</f>
        <v>36.86</v>
      </c>
    </row>
    <row r="10" spans="1:26" s="86" customFormat="1" x14ac:dyDescent="0.45">
      <c r="A10" s="83" t="s">
        <v>39</v>
      </c>
      <c r="B10" s="83" t="s">
        <v>23</v>
      </c>
      <c r="C10" s="84" t="s">
        <v>44</v>
      </c>
      <c r="D10" s="83">
        <v>323</v>
      </c>
      <c r="E10" s="83">
        <v>7</v>
      </c>
      <c r="F10" s="95" t="s">
        <v>25</v>
      </c>
      <c r="G10" s="83" t="s">
        <v>42</v>
      </c>
      <c r="H10" s="96">
        <f ca="1">Q10</f>
        <v>41.039618812499995</v>
      </c>
      <c r="I10" s="84"/>
      <c r="J10" s="84"/>
      <c r="K10" s="84"/>
      <c r="L10" s="84"/>
      <c r="M10" s="84"/>
      <c r="N10" s="187" t="str">
        <f>B10</f>
        <v>08311C</v>
      </c>
      <c r="O10" s="188" t="s">
        <v>192</v>
      </c>
      <c r="P10" s="193" t="s">
        <v>148</v>
      </c>
      <c r="Q10" s="194" cm="1">
        <f t="array" aca="1" ref="Q10" ca="1">IF(O10="Y",VLOOKUP(N10,INDIRECT(P$4),4,0)*INDIRECT(N$2),VLOOKUP(N10,INDIRECT(P$4),4,0))</f>
        <v>41.039618812499995</v>
      </c>
      <c r="R10" s="133" t="str">
        <f t="shared" ref="R10:S10" si="0">N10</f>
        <v>08311C</v>
      </c>
      <c r="S10" s="175" t="str">
        <f t="shared" si="0"/>
        <v>Y</v>
      </c>
      <c r="T10" s="133" t="str">
        <f t="shared" ref="T10" si="1">C10</f>
        <v>Production Technician II</v>
      </c>
      <c r="U10" s="205" t="str">
        <f t="shared" ref="U10" si="2">P10</f>
        <v>CPT 02</v>
      </c>
      <c r="V10" s="135">
        <f t="shared" ref="V10" ca="1" si="3">ROUND(Q10,3)</f>
        <v>41.04</v>
      </c>
    </row>
    <row r="11" spans="1:26" s="86" customFormat="1" ht="9" customHeight="1" x14ac:dyDescent="0.45">
      <c r="A11" s="84"/>
      <c r="B11" s="84"/>
      <c r="C11" s="84"/>
      <c r="D11" s="84"/>
      <c r="E11" s="84"/>
      <c r="F11" s="83"/>
      <c r="G11" s="83"/>
      <c r="H11" s="83"/>
      <c r="I11" s="96"/>
      <c r="J11" s="84"/>
      <c r="K11" s="84"/>
      <c r="L11" s="84"/>
      <c r="M11" s="84"/>
      <c r="N11" s="187"/>
      <c r="O11" s="188"/>
      <c r="P11" s="184"/>
      <c r="Q11" s="194"/>
      <c r="R11" s="133"/>
      <c r="S11" s="175"/>
      <c r="T11" s="133"/>
      <c r="U11" s="205"/>
      <c r="V11" s="135"/>
    </row>
    <row r="12" spans="1:26" s="86" customFormat="1" ht="12" customHeight="1" x14ac:dyDescent="0.45">
      <c r="A12" s="88" t="s">
        <v>193</v>
      </c>
      <c r="B12" s="88"/>
      <c r="C12" s="88"/>
      <c r="E12" s="84"/>
      <c r="F12" s="83"/>
      <c r="G12" s="83" t="s">
        <v>42</v>
      </c>
      <c r="H12" s="96">
        <f ca="1">Q12</f>
        <v>14.313363040624996</v>
      </c>
      <c r="J12" s="84"/>
      <c r="K12" s="84"/>
      <c r="L12" s="84"/>
      <c r="M12" s="84"/>
      <c r="N12" s="195" t="s">
        <v>106</v>
      </c>
      <c r="O12" s="196" t="s">
        <v>192</v>
      </c>
      <c r="P12" s="197" t="s">
        <v>107</v>
      </c>
      <c r="Q12" s="194" cm="1">
        <f t="array" aca="1" ref="Q12" ca="1">IF(O12="Y",VLOOKUP(N12,INDIRECT(P$4),4,0)*INDIRECT(N$2),VLOOKUP(N12,INDIRECT(P$4),4,0))</f>
        <v>14.313363040624996</v>
      </c>
      <c r="R12" s="133" t="str">
        <f t="shared" ref="R12:S12" si="4">N12</f>
        <v>CPTPMR</v>
      </c>
      <c r="S12" s="175" t="str">
        <f t="shared" si="4"/>
        <v>Y</v>
      </c>
      <c r="T12" s="133" t="str">
        <f>P12</f>
        <v>TL-Premium Rigger-CPT</v>
      </c>
      <c r="U12" s="205"/>
      <c r="V12" s="135">
        <f t="shared" ref="V12" ca="1" si="5">ROUND(Q12,3)</f>
        <v>14.313000000000001</v>
      </c>
    </row>
    <row r="13" spans="1:26" s="86" customFormat="1" ht="12" customHeight="1" x14ac:dyDescent="0.45">
      <c r="A13" s="83"/>
      <c r="B13" s="85" t="s">
        <v>194</v>
      </c>
      <c r="C13" s="83"/>
      <c r="E13" s="84"/>
      <c r="F13" s="84"/>
      <c r="G13" s="83"/>
      <c r="H13" s="97"/>
      <c r="I13" s="84"/>
      <c r="J13" s="84"/>
      <c r="K13" s="84"/>
      <c r="L13" s="84"/>
      <c r="M13" s="84"/>
      <c r="N13" s="187"/>
      <c r="O13" s="188"/>
      <c r="P13" s="184"/>
      <c r="Q13" s="185"/>
      <c r="R13" s="132"/>
      <c r="S13" s="204"/>
      <c r="T13" s="132"/>
      <c r="U13" s="204"/>
      <c r="V13" s="132"/>
    </row>
    <row r="14" spans="1:26" s="86" customFormat="1" ht="12" customHeight="1" x14ac:dyDescent="0.45">
      <c r="A14" s="83"/>
      <c r="B14" s="85" t="s">
        <v>47</v>
      </c>
      <c r="C14" s="83"/>
      <c r="D14" s="85"/>
      <c r="E14" s="84"/>
      <c r="F14" s="84"/>
      <c r="G14" s="83"/>
      <c r="H14" s="97"/>
      <c r="I14" s="84"/>
      <c r="J14" s="84"/>
      <c r="K14" s="84"/>
      <c r="L14" s="84"/>
      <c r="M14" s="84"/>
      <c r="N14" s="187"/>
      <c r="O14" s="188"/>
      <c r="P14" s="184"/>
      <c r="Q14" s="185"/>
      <c r="R14" s="132"/>
      <c r="S14" s="204"/>
      <c r="T14" s="132"/>
      <c r="U14" s="204"/>
      <c r="V14" s="132"/>
    </row>
    <row r="15" spans="1:26" s="86" customFormat="1" ht="12" customHeight="1" x14ac:dyDescent="0.45">
      <c r="A15" s="83"/>
      <c r="B15" s="85"/>
      <c r="C15" s="83"/>
      <c r="D15" s="85"/>
      <c r="E15" s="84"/>
      <c r="F15" s="84"/>
      <c r="G15" s="83"/>
      <c r="H15" s="97"/>
      <c r="I15" s="84"/>
      <c r="J15" s="84"/>
      <c r="K15" s="84"/>
      <c r="L15" s="84"/>
      <c r="M15" s="84"/>
      <c r="N15" s="187"/>
      <c r="O15" s="188"/>
      <c r="P15" s="184"/>
      <c r="Q15" s="185"/>
      <c r="R15" s="132"/>
      <c r="S15" s="204"/>
      <c r="T15" s="132"/>
      <c r="U15" s="204"/>
      <c r="V15" s="132"/>
    </row>
    <row r="16" spans="1:26" s="86" customFormat="1" x14ac:dyDescent="0.45">
      <c r="A16" s="99" t="s">
        <v>195</v>
      </c>
      <c r="B16" s="84"/>
      <c r="C16" s="83"/>
      <c r="E16" s="84"/>
      <c r="F16" s="84"/>
      <c r="G16" s="83" t="s">
        <v>42</v>
      </c>
      <c r="H16" s="216">
        <f ca="1">Q16</f>
        <v>16.455613040624996</v>
      </c>
      <c r="I16" s="84"/>
      <c r="J16" s="84"/>
      <c r="K16" s="84"/>
      <c r="L16" s="84"/>
      <c r="M16" s="84"/>
      <c r="N16" s="187" t="s">
        <v>196</v>
      </c>
      <c r="O16" s="188" t="s">
        <v>192</v>
      </c>
      <c r="P16" s="184" t="s">
        <v>197</v>
      </c>
      <c r="Q16" s="194" cm="1">
        <f t="array" aca="1" ref="Q16" ca="1">IF(O16="Y",VLOOKUP(N16,INDIRECT(P$4),4,0)*INDIRECT(N$2),VLOOKUP(N16,INDIRECT(P$4),4,0))</f>
        <v>16.455613040624996</v>
      </c>
      <c r="R16" s="133" t="str">
        <f>N16</f>
        <v>CPTLRG</v>
      </c>
      <c r="S16" s="175" t="str">
        <f>O16</f>
        <v>Y</v>
      </c>
      <c r="T16" s="133" t="str">
        <f>P16</f>
        <v>TL-ETCP Premium Rigger-CPT</v>
      </c>
      <c r="U16" s="175"/>
      <c r="V16" s="135">
        <f ca="1">Q16</f>
        <v>16.455613040624996</v>
      </c>
    </row>
    <row r="17" spans="1:22" s="86" customFormat="1" x14ac:dyDescent="0.45">
      <c r="A17" s="84"/>
      <c r="B17" s="85" t="s">
        <v>198</v>
      </c>
      <c r="C17" s="83"/>
      <c r="E17" s="84"/>
      <c r="F17" s="84"/>
      <c r="G17" s="84"/>
      <c r="H17" s="83"/>
      <c r="I17" s="84"/>
      <c r="J17" s="84"/>
      <c r="K17" s="84"/>
      <c r="L17" s="84"/>
      <c r="M17" s="84"/>
      <c r="N17" s="187"/>
      <c r="O17" s="188"/>
      <c r="P17" s="184"/>
      <c r="Q17" s="185"/>
      <c r="R17" s="132"/>
      <c r="S17" s="204"/>
      <c r="T17" s="132"/>
      <c r="U17" s="204"/>
      <c r="V17" s="132"/>
    </row>
    <row r="18" spans="1:22" s="86" customFormat="1" x14ac:dyDescent="0.45">
      <c r="A18" s="84"/>
      <c r="B18" s="85" t="s">
        <v>199</v>
      </c>
      <c r="C18" s="83"/>
      <c r="D18" s="85"/>
      <c r="E18" s="84"/>
      <c r="F18" s="84"/>
      <c r="G18" s="84"/>
      <c r="H18" s="83"/>
      <c r="I18" s="84"/>
      <c r="J18" s="84"/>
      <c r="K18" s="84"/>
      <c r="L18" s="84"/>
      <c r="M18" s="84"/>
      <c r="N18" s="187"/>
      <c r="O18" s="188"/>
      <c r="P18" s="184"/>
      <c r="Q18" s="185"/>
      <c r="R18" s="132"/>
      <c r="S18" s="204"/>
      <c r="T18" s="132"/>
      <c r="U18" s="204"/>
      <c r="V18" s="132"/>
    </row>
    <row r="19" spans="1:22" s="86" customFormat="1" x14ac:dyDescent="0.45">
      <c r="A19" s="84"/>
      <c r="B19" s="85"/>
      <c r="C19" s="83"/>
      <c r="D19" s="85"/>
      <c r="E19" s="84"/>
      <c r="F19" s="84"/>
      <c r="G19" s="84"/>
      <c r="H19" s="83"/>
      <c r="I19" s="84"/>
      <c r="J19" s="84"/>
      <c r="K19" s="84"/>
      <c r="L19" s="84"/>
      <c r="M19" s="84"/>
      <c r="N19" s="187"/>
      <c r="O19" s="188"/>
      <c r="P19" s="184"/>
      <c r="Q19" s="185"/>
      <c r="R19" s="132"/>
      <c r="S19" s="204"/>
      <c r="T19" s="132"/>
      <c r="U19" s="204"/>
      <c r="V19" s="132"/>
    </row>
    <row r="20" spans="1:22" s="86" customFormat="1" ht="12" customHeight="1" x14ac:dyDescent="0.45">
      <c r="A20" s="99" t="s">
        <v>49</v>
      </c>
      <c r="B20" s="85"/>
      <c r="C20" s="83"/>
      <c r="D20" s="84"/>
      <c r="E20" s="84"/>
      <c r="F20" s="84"/>
      <c r="G20" s="84"/>
      <c r="H20" s="83"/>
      <c r="I20" s="84"/>
      <c r="J20" s="84"/>
      <c r="K20" s="84"/>
      <c r="L20" s="84"/>
      <c r="M20" s="84"/>
      <c r="N20" s="187"/>
      <c r="O20" s="188"/>
      <c r="P20" s="184"/>
      <c r="Q20" s="194"/>
      <c r="R20" s="132"/>
      <c r="S20" s="204"/>
      <c r="T20" s="132"/>
      <c r="U20" s="204"/>
      <c r="V20" s="132"/>
    </row>
    <row r="21" spans="1:22" s="86" customFormat="1" ht="12" customHeight="1" x14ac:dyDescent="0.45">
      <c r="A21" s="100" t="str">
        <f ca="1">"A "&amp;TEXT(Q21,"$#.000")&amp;" per hour shift differential be paid for shifts that start between the hours of 5:00 p.m. and 4:00 a.m."</f>
        <v>A $2.280 per hour shift differential be paid for shifts that start between the hours of 5:00 p.m. and 4:00 a.m.</v>
      </c>
      <c r="B21" s="100"/>
      <c r="C21" s="100"/>
      <c r="D21" s="100"/>
      <c r="E21" s="100"/>
      <c r="F21" s="100"/>
      <c r="G21" s="100"/>
      <c r="H21" s="100"/>
      <c r="I21" s="100"/>
      <c r="J21" s="100"/>
      <c r="K21" s="101"/>
      <c r="L21" s="102"/>
      <c r="M21" s="84"/>
      <c r="N21" s="195" t="s">
        <v>108</v>
      </c>
      <c r="O21" s="196" t="s">
        <v>192</v>
      </c>
      <c r="P21" s="197" t="s">
        <v>109</v>
      </c>
      <c r="Q21" s="194" cm="1">
        <f t="array" aca="1" ref="Q21" ca="1">IF(O21="Y",VLOOKUP(N21,INDIRECT(P$4),4,0)*INDIRECT(N$2),VLOOKUP(N21,INDIRECT(P$4),4,0))</f>
        <v>2.2803447906249996</v>
      </c>
      <c r="R21" s="133" t="str">
        <f t="shared" ref="R21:S21" si="6">N21</f>
        <v>CPTEVE</v>
      </c>
      <c r="S21" s="175" t="str">
        <f t="shared" si="6"/>
        <v>Y</v>
      </c>
      <c r="T21" s="133" t="str">
        <f>P21</f>
        <v>TL-Evening Shift Premium-CPT</v>
      </c>
      <c r="U21" s="205"/>
      <c r="V21" s="135">
        <f t="shared" ref="V21" ca="1" si="7">ROUND(Q21,3)</f>
        <v>2.2799999999999998</v>
      </c>
    </row>
    <row r="22" spans="1:22" s="86" customFormat="1" ht="12" customHeight="1" x14ac:dyDescent="0.45">
      <c r="A22" s="84"/>
      <c r="B22" s="85"/>
      <c r="C22" s="96"/>
      <c r="D22" s="84"/>
      <c r="E22" s="84"/>
      <c r="F22" s="84"/>
      <c r="G22" s="84"/>
      <c r="H22" s="83"/>
      <c r="I22" s="84"/>
      <c r="J22" s="84"/>
      <c r="K22" s="101"/>
      <c r="L22" s="102"/>
      <c r="M22" s="84"/>
      <c r="N22" s="187"/>
      <c r="O22" s="188"/>
      <c r="P22" s="184"/>
      <c r="Q22" s="185"/>
      <c r="R22" s="132"/>
      <c r="S22" s="204"/>
      <c r="T22" s="132"/>
      <c r="U22" s="204"/>
      <c r="V22" s="132"/>
    </row>
    <row r="23" spans="1:22" s="86" customFormat="1" x14ac:dyDescent="0.45">
      <c r="A23" s="100" t="str">
        <f ca="1">"A "&amp;TEXT(Q23,"$#.000")&amp;" per hour shift differential be paid for shifts that start between the hours of 5:00 a.m. and 6:00 a.m., "</f>
        <v xml:space="preserve">A $1.177 per hour shift differential be paid for shifts that start between the hours of 5:00 a.m. and 6:00 a.m., </v>
      </c>
      <c r="B23" s="100"/>
      <c r="C23" s="100"/>
      <c r="D23" s="100"/>
      <c r="E23" s="100"/>
      <c r="F23" s="100"/>
      <c r="G23" s="100"/>
      <c r="H23" s="100"/>
      <c r="I23" s="100"/>
      <c r="J23" s="100"/>
      <c r="K23" s="101"/>
      <c r="L23" s="102"/>
      <c r="M23" s="84"/>
      <c r="N23" s="195" t="s">
        <v>110</v>
      </c>
      <c r="O23" s="196" t="s">
        <v>192</v>
      </c>
      <c r="P23" s="197" t="s">
        <v>111</v>
      </c>
      <c r="Q23" s="194" cm="1">
        <f t="array" aca="1" ref="Q23" ca="1">IF(O23="Y",VLOOKUP(N23,INDIRECT(P$4),4,0)*INDIRECT(N$2),VLOOKUP(N23,INDIRECT(P$4),4,0))</f>
        <v>1.1769521499999998</v>
      </c>
      <c r="R23" s="133" t="str">
        <f t="shared" ref="R23:T24" si="8">N23</f>
        <v>CPTAM1</v>
      </c>
      <c r="S23" s="175" t="str">
        <f t="shared" si="8"/>
        <v>Y</v>
      </c>
      <c r="T23" s="133" t="str">
        <f t="shared" si="8"/>
        <v>TL-Morning Shift Premium CPT</v>
      </c>
      <c r="U23" s="205"/>
      <c r="V23" s="135">
        <f t="shared" ref="V23:V24" ca="1" si="9">ROUND(Q23,3)</f>
        <v>1.177</v>
      </c>
    </row>
    <row r="24" spans="1:22" s="103" customFormat="1" ht="15" customHeight="1" x14ac:dyDescent="0.45">
      <c r="A24" s="103" t="s">
        <v>112</v>
      </c>
      <c r="N24" s="195" t="s">
        <v>113</v>
      </c>
      <c r="O24" s="196" t="s">
        <v>192</v>
      </c>
      <c r="P24" s="197" t="s">
        <v>107</v>
      </c>
      <c r="Q24" s="194" cm="1">
        <f t="array" aca="1" ref="Q24" ca="1">IF(O24="Y",VLOOKUP(N24,INDIRECT(P$4),4,0)*INDIRECT(N$2),VLOOKUP(N24,INDIRECT(P$4),4,0))</f>
        <v>1.1769521499999998</v>
      </c>
      <c r="R24" s="133" t="str">
        <f t="shared" si="8"/>
        <v>CPTNIT</v>
      </c>
      <c r="S24" s="175" t="str">
        <f t="shared" si="8"/>
        <v>Y</v>
      </c>
      <c r="T24" s="133" t="str">
        <f t="shared" si="8"/>
        <v>TL-Premium Rigger-CPT</v>
      </c>
      <c r="U24" s="205"/>
      <c r="V24" s="135">
        <f t="shared" ca="1" si="9"/>
        <v>1.177</v>
      </c>
    </row>
    <row r="25" spans="1:22" s="103" customFormat="1" ht="15" customHeight="1" x14ac:dyDescent="0.45">
      <c r="N25" s="184"/>
      <c r="O25" s="185"/>
      <c r="P25" s="184"/>
      <c r="Q25" s="185"/>
      <c r="R25" s="133"/>
      <c r="S25" s="175"/>
      <c r="T25" s="133"/>
      <c r="U25" s="175"/>
      <c r="V25" s="133"/>
    </row>
    <row r="26" spans="1:22" s="86" customFormat="1" ht="12" customHeight="1" x14ac:dyDescent="0.45">
      <c r="A26" s="99" t="s">
        <v>85</v>
      </c>
      <c r="B26" s="84"/>
      <c r="C26" s="96"/>
      <c r="D26" s="84"/>
      <c r="E26" s="84"/>
      <c r="F26" s="84"/>
      <c r="G26" s="84"/>
      <c r="H26" s="83"/>
      <c r="I26" s="84"/>
      <c r="J26" s="84"/>
      <c r="K26" s="101"/>
      <c r="L26" s="84"/>
      <c r="M26" s="84"/>
      <c r="N26" s="187"/>
      <c r="O26" s="188"/>
      <c r="P26" s="184"/>
      <c r="Q26" s="185"/>
      <c r="R26" s="132"/>
      <c r="S26" s="204"/>
      <c r="T26" s="132"/>
      <c r="U26" s="204"/>
      <c r="V26" s="132"/>
    </row>
    <row r="27" spans="1:22" s="86" customFormat="1" ht="18.75" customHeight="1" x14ac:dyDescent="0.45">
      <c r="A27" s="100" t="str">
        <f ca="1">"A "&amp;TEXT(Q27,"$#.000")&amp;" per hour premium be paid for each hour worked as an employer-designated Lead Worker."</f>
        <v>A $1.521 per hour premium be paid for each hour worked as an employer-designated Lead Worker.</v>
      </c>
      <c r="B27" s="100"/>
      <c r="C27" s="100"/>
      <c r="D27" s="100"/>
      <c r="E27" s="100"/>
      <c r="F27" s="100"/>
      <c r="G27" s="100"/>
      <c r="H27" s="100"/>
      <c r="I27" s="100"/>
      <c r="J27" s="100"/>
      <c r="K27" s="101"/>
      <c r="L27" s="102"/>
      <c r="M27" s="84"/>
      <c r="N27" s="195" t="s">
        <v>114</v>
      </c>
      <c r="O27" s="196" t="s">
        <v>192</v>
      </c>
      <c r="P27" s="197" t="s">
        <v>115</v>
      </c>
      <c r="Q27" s="194" cm="1">
        <f t="array" aca="1" ref="Q27" ca="1">IF(O27="Y",VLOOKUP(N27,INDIRECT(P$4),4,0)*INDIRECT(N$2),VLOOKUP(N27,INDIRECT(P$4),4,0))</f>
        <v>1.5205958281249996</v>
      </c>
      <c r="R27" s="133" t="str">
        <f t="shared" ref="R27:S27" si="10">N27</f>
        <v>CPTLDS</v>
      </c>
      <c r="S27" s="175" t="str">
        <f t="shared" si="10"/>
        <v>Y</v>
      </c>
      <c r="T27" s="133" t="str">
        <f>P27</f>
        <v>TL-Lead Prem (Substitute)-CPT</v>
      </c>
      <c r="U27" s="205"/>
      <c r="V27" s="135">
        <f t="shared" ref="V27" ca="1" si="11">ROUND(Q27,3)</f>
        <v>1.5209999999999999</v>
      </c>
    </row>
    <row r="28" spans="1:22" s="86" customFormat="1" ht="12" customHeight="1" x14ac:dyDescent="0.45">
      <c r="A28" s="85"/>
      <c r="B28" s="85"/>
      <c r="C28" s="96"/>
      <c r="D28" s="84"/>
      <c r="E28" s="84"/>
      <c r="F28" s="84"/>
      <c r="G28" s="84"/>
      <c r="H28" s="83"/>
      <c r="I28" s="84"/>
      <c r="J28" s="84"/>
      <c r="K28" s="101"/>
      <c r="L28" s="84"/>
      <c r="M28" s="84"/>
      <c r="N28" s="187"/>
      <c r="O28" s="188"/>
      <c r="P28" s="184"/>
      <c r="Q28" s="185"/>
      <c r="R28" s="132"/>
      <c r="S28" s="204"/>
      <c r="T28" s="132"/>
      <c r="U28" s="204"/>
      <c r="V28" s="132"/>
    </row>
    <row r="29" spans="1:22" s="86" customFormat="1" ht="17.25" customHeight="1" x14ac:dyDescent="0.45">
      <c r="A29" s="104" t="s">
        <v>55</v>
      </c>
      <c r="B29" s="104"/>
      <c r="C29" s="104"/>
      <c r="D29" s="104"/>
      <c r="E29" s="104"/>
      <c r="F29" s="104"/>
      <c r="G29" s="104"/>
      <c r="H29" s="104"/>
      <c r="I29" s="104"/>
      <c r="J29" s="104"/>
      <c r="K29" s="101"/>
      <c r="L29" s="84"/>
      <c r="M29" s="84"/>
      <c r="N29" s="187"/>
      <c r="O29" s="188"/>
      <c r="P29" s="184"/>
      <c r="Q29" s="185"/>
      <c r="R29" s="132"/>
      <c r="S29" s="204"/>
      <c r="T29" s="132"/>
      <c r="U29" s="204"/>
      <c r="V29" s="132"/>
    </row>
    <row r="30" spans="1:22" s="86" customFormat="1" ht="16.5" customHeight="1" x14ac:dyDescent="0.45">
      <c r="A30" s="100" t="s">
        <v>56</v>
      </c>
      <c r="B30" s="100"/>
      <c r="C30" s="100"/>
      <c r="D30" s="100"/>
      <c r="E30" s="100"/>
      <c r="F30" s="100"/>
      <c r="G30" s="100"/>
      <c r="H30" s="100"/>
      <c r="I30" s="100"/>
      <c r="J30" s="100"/>
      <c r="K30" s="101"/>
      <c r="L30" s="84"/>
      <c r="M30" s="84"/>
      <c r="N30" s="189" t="s">
        <v>116</v>
      </c>
      <c r="O30" s="190" t="s">
        <v>190</v>
      </c>
      <c r="P30" s="191"/>
      <c r="Q30" s="192" t="s">
        <v>155</v>
      </c>
      <c r="R30" s="172" t="s">
        <v>116</v>
      </c>
      <c r="S30" s="179" t="s">
        <v>190</v>
      </c>
      <c r="T30" s="173"/>
      <c r="U30" s="132"/>
      <c r="V30" s="176" t="s">
        <v>155</v>
      </c>
    </row>
    <row r="31" spans="1:22" s="86" customFormat="1" ht="16.5" customHeight="1" x14ac:dyDescent="0.45">
      <c r="A31" s="84"/>
      <c r="B31" s="96">
        <f ca="1">Q31</f>
        <v>0.17237079062499996</v>
      </c>
      <c r="C31" s="85" t="s">
        <v>57</v>
      </c>
      <c r="D31" s="85"/>
      <c r="E31" s="85"/>
      <c r="F31" s="85"/>
      <c r="G31" s="85"/>
      <c r="H31" s="85"/>
      <c r="I31" s="85"/>
      <c r="J31" s="85"/>
      <c r="K31" s="101"/>
      <c r="L31" s="84"/>
      <c r="M31" s="84"/>
      <c r="N31" s="187" t="s">
        <v>117</v>
      </c>
      <c r="O31" s="188" t="s">
        <v>192</v>
      </c>
      <c r="P31" s="184"/>
      <c r="Q31" s="194" cm="1">
        <f t="array" aca="1" ref="Q31" ca="1">IF(O31="Y",VLOOKUP(N31,INDIRECT(P$4),4,0)*INDIRECT(N$2),VLOOKUP(N31,INDIRECT(P$4),4,0))</f>
        <v>0.17237079062499996</v>
      </c>
      <c r="R31" s="133" t="str">
        <f t="shared" ref="R31:S34" si="12">N31</f>
        <v>10th Year</v>
      </c>
      <c r="S31" s="175" t="str">
        <f t="shared" si="12"/>
        <v>Y</v>
      </c>
      <c r="T31" s="133"/>
      <c r="U31" s="205"/>
      <c r="V31" s="135">
        <f t="shared" ref="V31:V34" ca="1" si="13">ROUND(Q31,3)</f>
        <v>0.17199999999999999</v>
      </c>
    </row>
    <row r="32" spans="1:22" s="86" customFormat="1" ht="16.5" customHeight="1" x14ac:dyDescent="0.45">
      <c r="A32" s="84"/>
      <c r="B32" s="96">
        <f t="shared" ref="B32:B34" ca="1" si="14">Q32</f>
        <v>0.38426609374999987</v>
      </c>
      <c r="C32" s="100" t="s">
        <v>58</v>
      </c>
      <c r="D32" s="100"/>
      <c r="E32" s="100"/>
      <c r="F32" s="100"/>
      <c r="G32" s="100"/>
      <c r="H32" s="100"/>
      <c r="I32" s="100"/>
      <c r="J32" s="100"/>
      <c r="K32" s="101"/>
      <c r="L32" s="84"/>
      <c r="M32" s="84"/>
      <c r="N32" s="187" t="s">
        <v>118</v>
      </c>
      <c r="O32" s="188" t="s">
        <v>192</v>
      </c>
      <c r="P32" s="184"/>
      <c r="Q32" s="194" cm="1">
        <f t="array" aca="1" ref="Q32" ca="1">IF(O32="Y",VLOOKUP(N32,INDIRECT(P$4),4,0)*INDIRECT(N$2),VLOOKUP(N32,INDIRECT(P$4),4,0))</f>
        <v>0.38426609374999987</v>
      </c>
      <c r="R32" s="133" t="str">
        <f t="shared" si="12"/>
        <v>15th Year</v>
      </c>
      <c r="S32" s="175" t="str">
        <f t="shared" si="12"/>
        <v>Y</v>
      </c>
      <c r="T32" s="133"/>
      <c r="U32" s="205"/>
      <c r="V32" s="135">
        <f t="shared" ca="1" si="13"/>
        <v>0.38400000000000001</v>
      </c>
    </row>
    <row r="33" spans="1:25" s="86" customFormat="1" ht="16.5" customHeight="1" x14ac:dyDescent="0.45">
      <c r="A33" s="84"/>
      <c r="B33" s="96">
        <f t="shared" ca="1" si="14"/>
        <v>0.46770673124999984</v>
      </c>
      <c r="C33" s="100" t="s">
        <v>59</v>
      </c>
      <c r="D33" s="100"/>
      <c r="E33" s="100"/>
      <c r="F33" s="100"/>
      <c r="G33" s="100"/>
      <c r="H33" s="100"/>
      <c r="I33" s="100"/>
      <c r="J33" s="100"/>
      <c r="K33" s="101"/>
      <c r="L33" s="84"/>
      <c r="M33" s="84"/>
      <c r="N33" s="187" t="s">
        <v>119</v>
      </c>
      <c r="O33" s="188" t="s">
        <v>192</v>
      </c>
      <c r="P33" s="184"/>
      <c r="Q33" s="194" cm="1">
        <f t="array" aca="1" ref="Q33" ca="1">IF(O33="Y",VLOOKUP(N33,INDIRECT(P$4),4,0)*INDIRECT(N$2),VLOOKUP(N33,INDIRECT(P$4),4,0))</f>
        <v>0.46770673124999984</v>
      </c>
      <c r="R33" s="133" t="str">
        <f t="shared" si="12"/>
        <v>20th Year</v>
      </c>
      <c r="S33" s="175" t="str">
        <f t="shared" si="12"/>
        <v>Y</v>
      </c>
      <c r="T33" s="133"/>
      <c r="U33" s="205"/>
      <c r="V33" s="135">
        <f t="shared" ca="1" si="13"/>
        <v>0.46800000000000003</v>
      </c>
    </row>
    <row r="34" spans="1:25" s="86" customFormat="1" ht="16.5" customHeight="1" x14ac:dyDescent="0.45">
      <c r="A34" s="84"/>
      <c r="B34" s="96">
        <f t="shared" ca="1" si="14"/>
        <v>0.81464411874999976</v>
      </c>
      <c r="C34" s="100" t="s">
        <v>60</v>
      </c>
      <c r="D34" s="100"/>
      <c r="E34" s="100"/>
      <c r="F34" s="100"/>
      <c r="G34" s="100"/>
      <c r="H34" s="100"/>
      <c r="I34" s="100"/>
      <c r="J34" s="100"/>
      <c r="K34" s="101"/>
      <c r="L34" s="84"/>
      <c r="M34" s="84"/>
      <c r="N34" s="187" t="s">
        <v>120</v>
      </c>
      <c r="O34" s="188" t="s">
        <v>192</v>
      </c>
      <c r="P34" s="184"/>
      <c r="Q34" s="194" cm="1">
        <f t="array" aca="1" ref="Q34" ca="1">IF(O34="Y",VLOOKUP(N34,INDIRECT(P$4),4,0)*INDIRECT(N$2),VLOOKUP(N34,INDIRECT(P$4),4,0))</f>
        <v>0.81464411874999976</v>
      </c>
      <c r="R34" s="133" t="str">
        <f t="shared" si="12"/>
        <v>25th Year</v>
      </c>
      <c r="S34" s="175" t="str">
        <f t="shared" si="12"/>
        <v>Y</v>
      </c>
      <c r="T34" s="133"/>
      <c r="U34" s="205"/>
      <c r="V34" s="135">
        <f t="shared" ca="1" si="13"/>
        <v>0.81499999999999995</v>
      </c>
    </row>
    <row r="35" spans="1:25" s="86" customFormat="1" ht="10.5" customHeight="1" thickBot="1" x14ac:dyDescent="0.5">
      <c r="A35" s="168"/>
      <c r="B35" s="169"/>
      <c r="C35" s="170"/>
      <c r="D35" s="170"/>
      <c r="E35" s="168"/>
      <c r="F35" s="168"/>
      <c r="G35" s="168"/>
      <c r="H35" s="170"/>
      <c r="I35" s="168"/>
      <c r="J35" s="168"/>
      <c r="K35" s="101"/>
      <c r="L35" s="84"/>
      <c r="M35" s="84"/>
      <c r="N35" s="187"/>
      <c r="O35" s="188"/>
      <c r="P35" s="184"/>
      <c r="Q35" s="185"/>
      <c r="R35" s="132"/>
      <c r="S35" s="204"/>
      <c r="T35" s="132"/>
      <c r="U35" s="204"/>
      <c r="V35" s="132"/>
    </row>
    <row r="36" spans="1:25" s="86" customFormat="1" ht="20.25" customHeight="1" x14ac:dyDescent="0.45">
      <c r="A36" s="99" t="str">
        <f>"Group 2: (CST) Temporary Employees ("&amp;TEXT(P3-100%,"##.0%")&amp;" increase)"</f>
        <v>Group 2: (CST) Temporary Employees (2.0% increase)</v>
      </c>
      <c r="B36" s="101"/>
      <c r="C36" s="107"/>
      <c r="D36" s="107"/>
      <c r="E36" s="101"/>
      <c r="F36" s="101"/>
      <c r="G36" s="101"/>
      <c r="H36" s="107"/>
      <c r="I36" s="101"/>
      <c r="J36" s="101"/>
      <c r="K36" s="101"/>
      <c r="L36" s="84"/>
      <c r="M36" s="84"/>
      <c r="N36" s="187"/>
      <c r="O36" s="188"/>
      <c r="P36" s="184"/>
      <c r="Q36" s="185"/>
      <c r="R36" s="132"/>
      <c r="S36" s="204"/>
      <c r="T36" s="132"/>
      <c r="U36" s="204"/>
      <c r="V36" s="132"/>
    </row>
    <row r="37" spans="1:25" s="86" customFormat="1" ht="62.65" x14ac:dyDescent="0.45">
      <c r="A37" s="91" t="s">
        <v>2</v>
      </c>
      <c r="B37" s="91" t="s">
        <v>101</v>
      </c>
      <c r="C37" s="92" t="s">
        <v>102</v>
      </c>
      <c r="D37" s="91" t="s">
        <v>103</v>
      </c>
      <c r="E37" s="93" t="s">
        <v>12</v>
      </c>
      <c r="F37" s="93" t="s">
        <v>32</v>
      </c>
      <c r="G37" s="90" t="s">
        <v>104</v>
      </c>
      <c r="H37" s="91" t="s">
        <v>62</v>
      </c>
      <c r="I37" s="108" t="s">
        <v>63</v>
      </c>
      <c r="J37" s="94"/>
      <c r="K37" s="109"/>
      <c r="L37" s="101"/>
      <c r="M37" s="84"/>
      <c r="N37" s="189" t="s">
        <v>3</v>
      </c>
      <c r="O37" s="190" t="s">
        <v>190</v>
      </c>
      <c r="P37" s="191" t="s">
        <v>6</v>
      </c>
      <c r="Q37" s="192" t="s">
        <v>155</v>
      </c>
      <c r="R37" s="172" t="s">
        <v>3</v>
      </c>
      <c r="S37" s="179" t="s">
        <v>190</v>
      </c>
      <c r="T37" s="173" t="s">
        <v>6</v>
      </c>
      <c r="U37" s="132"/>
      <c r="V37" s="176" t="s">
        <v>155</v>
      </c>
      <c r="W37" s="111"/>
      <c r="X37" s="113"/>
      <c r="Y37" s="114"/>
    </row>
    <row r="38" spans="1:25" s="86" customFormat="1" x14ac:dyDescent="0.45">
      <c r="A38" s="83" t="s">
        <v>39</v>
      </c>
      <c r="B38" s="83" t="s">
        <v>65</v>
      </c>
      <c r="C38" s="85" t="s">
        <v>66</v>
      </c>
      <c r="D38" s="83">
        <v>248</v>
      </c>
      <c r="E38" s="83">
        <v>5</v>
      </c>
      <c r="F38" s="95" t="s">
        <v>22</v>
      </c>
      <c r="G38" s="83" t="s">
        <v>42</v>
      </c>
      <c r="H38" s="96" t="s">
        <v>67</v>
      </c>
      <c r="I38" s="96">
        <f ca="1">Q38</f>
        <v>28.21081014</v>
      </c>
      <c r="J38" s="84"/>
      <c r="K38" s="84"/>
      <c r="L38" s="84"/>
      <c r="M38" s="84"/>
      <c r="N38" s="184" t="str">
        <f>B38</f>
        <v>09300C</v>
      </c>
      <c r="O38" s="185" t="s">
        <v>192</v>
      </c>
      <c r="P38" s="198" t="s">
        <v>64</v>
      </c>
      <c r="Q38" s="194" cm="1">
        <f t="array" aca="1" ref="Q38" ca="1">IF(O38="Y",VLOOKUP(N38,INDIRECT(P$4),4,0)*INDIRECT(N$3),VLOOKUP(N38,INDIRECT(P$4),4,0))</f>
        <v>28.21081014</v>
      </c>
      <c r="R38" s="133" t="str">
        <f t="shared" ref="R38:S41" si="15">N38</f>
        <v>09300C</v>
      </c>
      <c r="S38" s="175" t="str">
        <f t="shared" si="15"/>
        <v>Y</v>
      </c>
      <c r="T38" s="133"/>
      <c r="U38" s="205"/>
      <c r="V38" s="135">
        <f t="shared" ref="V38:V41" ca="1" si="16">ROUND(Q38,3)</f>
        <v>28.210999999999999</v>
      </c>
      <c r="W38" s="120"/>
      <c r="X38" s="120"/>
      <c r="Y38" s="119"/>
    </row>
    <row r="39" spans="1:25" s="86" customFormat="1" ht="15" customHeight="1" x14ac:dyDescent="0.45">
      <c r="A39" s="83"/>
      <c r="B39" s="83" t="s">
        <v>62</v>
      </c>
      <c r="C39" s="85" t="s">
        <v>68</v>
      </c>
      <c r="D39" s="84"/>
      <c r="E39" s="84"/>
      <c r="F39" s="84"/>
      <c r="G39" s="83" t="s">
        <v>42</v>
      </c>
      <c r="H39" s="96">
        <f ca="1">Q70</f>
        <v>1.9195380000000006</v>
      </c>
      <c r="I39" s="96">
        <f ca="1">Q39</f>
        <v>30.130348140000002</v>
      </c>
      <c r="J39" s="84"/>
      <c r="K39" s="84"/>
      <c r="L39" s="84"/>
      <c r="M39" s="84"/>
      <c r="N39" s="199" t="s">
        <v>149</v>
      </c>
      <c r="O39" s="200" t="s">
        <v>192</v>
      </c>
      <c r="P39" s="198"/>
      <c r="Q39" s="194" cm="1">
        <f t="array" aca="1" ref="Q39" ca="1">IF(O39="Y",VLOOKUP(N39,INDIRECT(P$4),4,0)*INDIRECT(N$3),VLOOKUP(N39,INDIRECT(P$4),4,0))</f>
        <v>30.130348140000002</v>
      </c>
      <c r="R39" s="133" t="str">
        <f t="shared" si="15"/>
        <v>Step 2</v>
      </c>
      <c r="S39" s="175" t="str">
        <f t="shared" si="15"/>
        <v>Y</v>
      </c>
      <c r="T39" s="133"/>
      <c r="U39" s="205"/>
      <c r="V39" s="135">
        <f t="shared" ca="1" si="16"/>
        <v>30.13</v>
      </c>
      <c r="W39" s="120"/>
      <c r="X39" s="120"/>
      <c r="Y39" s="119"/>
    </row>
    <row r="40" spans="1:25" s="86" customFormat="1" x14ac:dyDescent="0.45">
      <c r="A40" s="83"/>
      <c r="B40" s="83" t="s">
        <v>62</v>
      </c>
      <c r="C40" s="85" t="s">
        <v>69</v>
      </c>
      <c r="D40" s="84"/>
      <c r="E40" s="84"/>
      <c r="F40" s="84"/>
      <c r="G40" s="83" t="s">
        <v>42</v>
      </c>
      <c r="H40" s="96">
        <f ca="1">Q68</f>
        <v>7.0628334299999969</v>
      </c>
      <c r="I40" s="96">
        <f ca="1">Q40</f>
        <v>35.273643569999997</v>
      </c>
      <c r="J40" s="84"/>
      <c r="K40" s="84"/>
      <c r="L40" s="84"/>
      <c r="M40" s="84"/>
      <c r="N40" s="199" t="s">
        <v>150</v>
      </c>
      <c r="O40" s="200" t="s">
        <v>192</v>
      </c>
      <c r="P40" s="198"/>
      <c r="Q40" s="194" cm="1">
        <f t="array" aca="1" ref="Q40" ca="1">IF(O40="Y",VLOOKUP(N40,INDIRECT(P$4),4,0)*INDIRECT(N$3),VLOOKUP(N40,INDIRECT(P$4),4,0))</f>
        <v>35.273643569999997</v>
      </c>
      <c r="R40" s="133" t="str">
        <f t="shared" si="15"/>
        <v>Step 3</v>
      </c>
      <c r="S40" s="175" t="str">
        <f t="shared" si="15"/>
        <v>Y</v>
      </c>
      <c r="T40" s="133"/>
      <c r="U40" s="205"/>
      <c r="V40" s="135">
        <f t="shared" ca="1" si="16"/>
        <v>35.274000000000001</v>
      </c>
      <c r="W40" s="125"/>
      <c r="X40" s="125"/>
    </row>
    <row r="41" spans="1:25" s="86" customFormat="1" x14ac:dyDescent="0.45">
      <c r="A41" s="83"/>
      <c r="B41" s="83" t="s">
        <v>62</v>
      </c>
      <c r="C41" s="85" t="s">
        <v>70</v>
      </c>
      <c r="D41" s="84"/>
      <c r="E41" s="84"/>
      <c r="F41" s="84"/>
      <c r="G41" s="83" t="s">
        <v>42</v>
      </c>
      <c r="H41" s="96">
        <f ca="1">Q65</f>
        <v>17.556307830000002</v>
      </c>
      <c r="I41" s="96">
        <f ca="1">Q41</f>
        <v>45.767117970000001</v>
      </c>
      <c r="J41" s="171"/>
      <c r="K41" s="84"/>
      <c r="L41" s="84"/>
      <c r="M41" s="84"/>
      <c r="N41" s="187" t="s">
        <v>151</v>
      </c>
      <c r="O41" s="185" t="s">
        <v>192</v>
      </c>
      <c r="P41" s="198"/>
      <c r="Q41" s="194" cm="1">
        <f t="array" aca="1" ref="Q41" ca="1">IF(O41="Y",VLOOKUP(N41,INDIRECT(P$4),4,0)*INDIRECT(N$3),VLOOKUP(N41,INDIRECT(P$4),4,0))</f>
        <v>45.767117970000001</v>
      </c>
      <c r="R41" s="133" t="str">
        <f t="shared" si="15"/>
        <v>Step 4</v>
      </c>
      <c r="S41" s="175" t="str">
        <f t="shared" si="15"/>
        <v>Y</v>
      </c>
      <c r="T41" s="133"/>
      <c r="U41" s="205"/>
      <c r="V41" s="135">
        <f t="shared" ca="1" si="16"/>
        <v>45.767000000000003</v>
      </c>
      <c r="W41" s="125"/>
      <c r="X41" s="125"/>
    </row>
    <row r="42" spans="1:25" s="86" customFormat="1" x14ac:dyDescent="0.45">
      <c r="A42" s="84"/>
      <c r="B42" s="83"/>
      <c r="C42" s="126" t="s">
        <v>71</v>
      </c>
      <c r="D42" s="84"/>
      <c r="E42" s="84"/>
      <c r="F42" s="84"/>
      <c r="G42" s="84"/>
      <c r="H42" s="84"/>
      <c r="I42" s="84"/>
      <c r="J42" s="84"/>
      <c r="K42" s="84"/>
      <c r="L42" s="84"/>
      <c r="M42" s="84"/>
      <c r="N42" s="187"/>
      <c r="O42" s="185"/>
      <c r="P42" s="184"/>
      <c r="Q42" s="185"/>
      <c r="R42" s="132"/>
      <c r="S42" s="204"/>
      <c r="T42" s="132"/>
      <c r="U42" s="204"/>
      <c r="V42" s="132"/>
    </row>
    <row r="43" spans="1:25" s="86" customFormat="1" x14ac:dyDescent="0.45">
      <c r="A43" s="84"/>
      <c r="B43" s="83" t="s">
        <v>62</v>
      </c>
      <c r="C43" s="85" t="s">
        <v>72</v>
      </c>
      <c r="D43" s="84"/>
      <c r="E43" s="84"/>
      <c r="F43" s="84"/>
      <c r="G43" s="83" t="s">
        <v>73</v>
      </c>
      <c r="H43" s="96">
        <f ca="1">Q62</f>
        <v>8.322263640000001</v>
      </c>
      <c r="I43" s="96">
        <f ca="1">Q43</f>
        <v>36.533073780000009</v>
      </c>
      <c r="J43" s="84"/>
      <c r="K43" s="84"/>
      <c r="L43" s="171"/>
      <c r="M43" s="84"/>
      <c r="N43" s="187" t="s">
        <v>152</v>
      </c>
      <c r="O43" s="185" t="s">
        <v>192</v>
      </c>
      <c r="P43" s="198"/>
      <c r="Q43" s="194" cm="1">
        <f t="array" aca="1" ref="Q43" ca="1">IF(O43="Y",VLOOKUP(N43,INDIRECT(P$4),4,0)*INDIRECT(N$3),VLOOKUP(N43,INDIRECT(P$4),4,0))</f>
        <v>36.533073780000009</v>
      </c>
      <c r="R43" s="133" t="str">
        <f t="shared" ref="R43:S43" si="17">N43</f>
        <v>Step 5</v>
      </c>
      <c r="S43" s="175" t="str">
        <f t="shared" si="17"/>
        <v>Y</v>
      </c>
      <c r="T43" s="133"/>
      <c r="U43" s="205"/>
      <c r="V43" s="135">
        <f t="shared" ref="V43" ca="1" si="18">ROUND(Q43,3)</f>
        <v>36.533000000000001</v>
      </c>
      <c r="W43" s="127"/>
      <c r="X43" s="125"/>
    </row>
    <row r="44" spans="1:25" s="86" customFormat="1" x14ac:dyDescent="0.45">
      <c r="A44" s="84"/>
      <c r="B44" s="84"/>
      <c r="C44" s="83"/>
      <c r="D44" s="85"/>
      <c r="E44" s="84"/>
      <c r="F44" s="84"/>
      <c r="G44" s="83"/>
      <c r="H44" s="96"/>
      <c r="I44" s="96"/>
      <c r="J44" s="84"/>
      <c r="K44" s="84"/>
      <c r="L44" s="84"/>
      <c r="M44" s="84"/>
      <c r="N44" s="187"/>
      <c r="O44" s="188"/>
      <c r="P44" s="198"/>
      <c r="Q44" s="194"/>
      <c r="R44" s="206"/>
      <c r="S44" s="204"/>
      <c r="T44" s="206"/>
      <c r="U44" s="204"/>
      <c r="V44" s="204"/>
      <c r="W44" s="127"/>
      <c r="X44" s="125"/>
    </row>
    <row r="45" spans="1:25" s="86" customFormat="1" ht="29.25" customHeight="1" x14ac:dyDescent="0.45">
      <c r="A45" s="242" t="s">
        <v>137</v>
      </c>
      <c r="B45" s="242"/>
      <c r="C45" s="242"/>
      <c r="D45" s="242"/>
      <c r="E45" s="242"/>
      <c r="F45" s="242"/>
      <c r="G45" s="242"/>
      <c r="H45" s="242"/>
      <c r="I45" s="242"/>
      <c r="J45" s="242"/>
      <c r="K45" s="84"/>
      <c r="L45" s="84"/>
      <c r="M45" s="84"/>
      <c r="N45" s="201"/>
      <c r="O45" s="201"/>
      <c r="P45" s="201"/>
      <c r="Q45" s="212"/>
      <c r="R45" s="132"/>
      <c r="S45" s="132"/>
      <c r="T45" s="132"/>
      <c r="U45" s="132"/>
      <c r="V45" s="132"/>
      <c r="W45" s="127"/>
      <c r="X45" s="125"/>
    </row>
    <row r="46" spans="1:25" s="86" customFormat="1" x14ac:dyDescent="0.45">
      <c r="A46" s="223"/>
      <c r="B46" s="223"/>
      <c r="C46" s="223"/>
      <c r="D46" s="223"/>
      <c r="E46" s="223"/>
      <c r="F46" s="223"/>
      <c r="G46" s="223"/>
      <c r="H46" s="223"/>
      <c r="I46" s="223"/>
      <c r="J46" s="223"/>
      <c r="K46" s="84"/>
      <c r="L46" s="84"/>
      <c r="M46" s="84"/>
      <c r="N46" s="201"/>
      <c r="O46" s="201"/>
      <c r="P46" s="201"/>
      <c r="Q46" s="212"/>
      <c r="R46" s="132"/>
      <c r="S46" s="132"/>
      <c r="T46" s="132"/>
      <c r="U46" s="132"/>
      <c r="V46" s="132"/>
      <c r="W46" s="127"/>
      <c r="X46" s="125"/>
    </row>
    <row r="47" spans="1:25" s="86" customFormat="1" x14ac:dyDescent="0.45">
      <c r="A47" s="99" t="s">
        <v>195</v>
      </c>
      <c r="B47" s="84"/>
      <c r="C47" s="83"/>
      <c r="E47" s="84"/>
      <c r="F47" s="84"/>
      <c r="G47" s="83" t="s">
        <v>42</v>
      </c>
      <c r="H47" s="216">
        <f ca="1">Q73</f>
        <v>19.647307829999999</v>
      </c>
      <c r="I47" s="171">
        <f ca="1">Q47</f>
        <v>47.858117969999995</v>
      </c>
      <c r="J47" s="84"/>
      <c r="K47" s="84"/>
      <c r="L47" s="84"/>
      <c r="M47" s="84"/>
      <c r="N47" s="187"/>
      <c r="O47" s="188"/>
      <c r="P47" s="184"/>
      <c r="Q47" s="194">
        <f ca="1">Q73+Q38</f>
        <v>47.858117969999995</v>
      </c>
      <c r="R47" s="133"/>
      <c r="S47" s="175"/>
      <c r="T47" s="133"/>
      <c r="U47" s="175"/>
      <c r="V47" s="135"/>
    </row>
    <row r="48" spans="1:25" s="86" customFormat="1" x14ac:dyDescent="0.45">
      <c r="A48" s="84"/>
      <c r="B48" s="85" t="s">
        <v>200</v>
      </c>
      <c r="C48" s="83"/>
      <c r="E48" s="84"/>
      <c r="F48" s="84"/>
      <c r="G48" s="84"/>
      <c r="H48" s="83"/>
      <c r="I48" s="84"/>
      <c r="J48" s="84"/>
      <c r="K48" s="84"/>
      <c r="L48" s="84"/>
      <c r="M48" s="84"/>
      <c r="N48" s="187"/>
      <c r="O48" s="188"/>
      <c r="P48" s="184"/>
      <c r="Q48" s="185"/>
      <c r="R48" s="132"/>
      <c r="S48" s="204"/>
      <c r="T48" s="132"/>
      <c r="U48" s="204"/>
      <c r="V48" s="132"/>
    </row>
    <row r="49" spans="1:24" s="86" customFormat="1" x14ac:dyDescent="0.45">
      <c r="A49" s="84"/>
      <c r="B49" s="85" t="s">
        <v>199</v>
      </c>
      <c r="C49" s="83"/>
      <c r="D49" s="85"/>
      <c r="E49" s="84"/>
      <c r="F49" s="84"/>
      <c r="G49" s="84"/>
      <c r="H49" s="83"/>
      <c r="I49" s="84"/>
      <c r="J49" s="84"/>
      <c r="K49" s="84"/>
      <c r="L49" s="84"/>
      <c r="M49" s="84"/>
      <c r="N49" s="187"/>
      <c r="O49" s="188"/>
      <c r="P49" s="184"/>
      <c r="Q49" s="185"/>
      <c r="R49" s="132"/>
      <c r="S49" s="204"/>
      <c r="T49" s="132"/>
      <c r="U49" s="204"/>
      <c r="V49" s="132"/>
    </row>
    <row r="50" spans="1:24" s="86" customFormat="1" x14ac:dyDescent="0.45">
      <c r="A50" s="84"/>
      <c r="B50" s="85"/>
      <c r="C50" s="83"/>
      <c r="D50" s="85"/>
      <c r="E50" s="84"/>
      <c r="F50" s="84"/>
      <c r="G50" s="84"/>
      <c r="H50" s="83"/>
      <c r="I50" s="84"/>
      <c r="J50" s="84"/>
      <c r="K50" s="84"/>
      <c r="L50" s="84"/>
      <c r="M50" s="84"/>
      <c r="N50" s="187"/>
      <c r="O50" s="188"/>
      <c r="P50" s="184"/>
      <c r="Q50" s="185"/>
      <c r="R50" s="132"/>
      <c r="S50" s="204"/>
      <c r="T50" s="132"/>
      <c r="U50" s="204"/>
      <c r="V50" s="132"/>
    </row>
    <row r="51" spans="1:24" s="86" customFormat="1" ht="14.25" customHeight="1" x14ac:dyDescent="0.45">
      <c r="A51" s="128"/>
      <c r="B51" s="105"/>
      <c r="C51" s="106"/>
      <c r="D51" s="128"/>
      <c r="E51" s="105"/>
      <c r="F51" s="105"/>
      <c r="G51" s="106"/>
      <c r="H51" s="129"/>
      <c r="I51" s="129"/>
      <c r="J51" s="105"/>
      <c r="K51" s="84"/>
      <c r="L51" s="84"/>
      <c r="M51" s="84"/>
      <c r="N51" s="201"/>
      <c r="O51" s="201"/>
      <c r="P51" s="201"/>
      <c r="Q51" s="212"/>
      <c r="R51" s="132"/>
      <c r="S51" s="132"/>
      <c r="T51" s="132"/>
      <c r="U51" s="132"/>
      <c r="V51" s="132"/>
      <c r="W51" s="127"/>
      <c r="X51" s="125"/>
    </row>
    <row r="52" spans="1:24" s="86" customFormat="1" x14ac:dyDescent="0.45">
      <c r="A52" s="99"/>
      <c r="C52" s="84"/>
      <c r="D52" s="84"/>
      <c r="E52" s="84"/>
      <c r="F52" s="84"/>
      <c r="G52" s="84"/>
      <c r="H52" s="84"/>
      <c r="I52" s="84"/>
      <c r="J52" s="84"/>
      <c r="K52" s="84"/>
      <c r="L52" s="84"/>
      <c r="M52" s="84"/>
      <c r="N52" s="201"/>
      <c r="O52" s="201"/>
      <c r="P52" s="201"/>
      <c r="Q52" s="212"/>
      <c r="R52" s="132"/>
      <c r="S52" s="132"/>
      <c r="T52" s="132"/>
      <c r="U52" s="132"/>
      <c r="V52" s="132"/>
    </row>
    <row r="53" spans="1:24" s="86" customFormat="1" x14ac:dyDescent="0.45">
      <c r="A53" s="242" t="str">
        <f>"In addition to the above wage rates for Temporary Employees, the Employer shall make contributions to the IATSE Health and Welfare Plan"</f>
        <v>In addition to the above wage rates for Temporary Employees, the Employer shall make contributions to the IATSE Health and Welfare Plan</v>
      </c>
      <c r="B53" s="242"/>
      <c r="C53" s="242"/>
      <c r="D53" s="242"/>
      <c r="E53" s="242"/>
      <c r="F53" s="242"/>
      <c r="G53" s="242"/>
      <c r="H53" s="242"/>
      <c r="I53" s="242"/>
      <c r="J53" s="242"/>
      <c r="K53" s="84"/>
      <c r="L53" s="84"/>
      <c r="M53" s="84"/>
      <c r="N53" s="184" t="s">
        <v>201</v>
      </c>
      <c r="O53" s="201"/>
      <c r="P53" s="201"/>
      <c r="Q53" s="213">
        <v>0.125</v>
      </c>
      <c r="R53" s="133" t="str">
        <f>N53</f>
        <v>IATSE H&amp;W</v>
      </c>
      <c r="S53" s="133"/>
      <c r="T53" s="133"/>
      <c r="U53" s="133"/>
      <c r="V53" s="218">
        <f>Q53</f>
        <v>0.125</v>
      </c>
    </row>
    <row r="54" spans="1:24" s="86" customFormat="1" x14ac:dyDescent="0.45">
      <c r="A54" s="84" t="str">
        <f>"sponsored by the Union for the benefit of its members. Such contributions shall be made at the rate of "&amp;TEXT(Q53,"###.0%")&amp;" of gross wages."</f>
        <v>sponsored by the Union for the benefit of its members. Such contributions shall be made at the rate of 12.5% of gross wages.</v>
      </c>
      <c r="C54" s="84"/>
      <c r="D54" s="84"/>
      <c r="E54" s="84"/>
      <c r="F54" s="84"/>
      <c r="G54" s="84"/>
      <c r="H54" s="84"/>
      <c r="I54" s="84"/>
      <c r="J54" s="84"/>
      <c r="K54" s="84"/>
      <c r="L54" s="84"/>
      <c r="M54" s="84"/>
      <c r="N54" s="201"/>
      <c r="O54" s="201"/>
      <c r="P54" s="201"/>
      <c r="Q54" s="212"/>
      <c r="R54" s="132"/>
      <c r="S54" s="132"/>
      <c r="T54" s="132"/>
      <c r="U54" s="132"/>
      <c r="V54" s="132"/>
    </row>
    <row r="55" spans="1:24" s="86" customFormat="1" x14ac:dyDescent="0.45">
      <c r="A55" s="84"/>
      <c r="C55" s="84"/>
      <c r="D55" s="84"/>
      <c r="E55" s="84"/>
      <c r="F55" s="84"/>
      <c r="G55" s="84"/>
      <c r="H55" s="84"/>
      <c r="I55" s="84"/>
      <c r="J55" s="84"/>
      <c r="K55" s="84"/>
      <c r="L55" s="84"/>
      <c r="M55" s="84"/>
      <c r="N55" s="201"/>
      <c r="O55" s="201"/>
      <c r="P55" s="201"/>
      <c r="Q55" s="212"/>
      <c r="R55" s="132"/>
      <c r="S55" s="132"/>
      <c r="T55" s="132"/>
      <c r="U55" s="132"/>
      <c r="V55" s="132"/>
    </row>
    <row r="56" spans="1:24" s="86" customFormat="1" x14ac:dyDescent="0.45">
      <c r="A56" s="99" t="s">
        <v>93</v>
      </c>
      <c r="C56" s="84"/>
      <c r="D56" s="84"/>
      <c r="E56" s="84"/>
      <c r="F56" s="84"/>
      <c r="G56" s="84"/>
      <c r="H56" s="84"/>
      <c r="I56" s="84"/>
      <c r="J56" s="84"/>
      <c r="K56" s="84"/>
      <c r="L56" s="84"/>
      <c r="M56" s="84"/>
      <c r="N56" s="201"/>
      <c r="O56" s="201"/>
      <c r="P56" s="201"/>
      <c r="Q56" s="212"/>
      <c r="R56" s="132"/>
      <c r="S56" s="132"/>
      <c r="T56" s="132"/>
      <c r="U56" s="132"/>
      <c r="V56" s="132"/>
    </row>
    <row r="57" spans="1:24" s="86" customFormat="1" x14ac:dyDescent="0.45">
      <c r="A57" s="242" t="s">
        <v>202</v>
      </c>
      <c r="B57" s="242"/>
      <c r="C57" s="242"/>
      <c r="D57" s="242"/>
      <c r="E57" s="242"/>
      <c r="F57" s="242"/>
      <c r="G57" s="242"/>
      <c r="H57" s="242"/>
      <c r="I57" s="242"/>
      <c r="J57" s="242"/>
      <c r="K57" s="84"/>
      <c r="L57" s="84"/>
      <c r="M57" s="84"/>
      <c r="N57" s="201"/>
      <c r="O57" s="201"/>
      <c r="P57" s="201"/>
      <c r="Q57" s="212"/>
      <c r="R57" s="132"/>
      <c r="S57" s="132"/>
      <c r="T57" s="132"/>
      <c r="U57" s="132"/>
      <c r="V57" s="132"/>
    </row>
    <row r="58" spans="1:24" s="86" customFormat="1" x14ac:dyDescent="0.45">
      <c r="A58" s="85" t="str">
        <f>"Trust, sponsored by the Union for the benefit of its members. Such contributions shall be made at the rate of "&amp;TEXT(Q58,"##.0%")&amp;" of gross wages."</f>
        <v>Trust, sponsored by the Union for the benefit of its members. Such contributions shall be made at the rate of 6.0% of gross wages.</v>
      </c>
      <c r="B58" s="223"/>
      <c r="C58" s="223"/>
      <c r="D58" s="223"/>
      <c r="E58" s="223"/>
      <c r="F58" s="223"/>
      <c r="G58" s="223"/>
      <c r="H58" s="223"/>
      <c r="I58" s="223"/>
      <c r="J58" s="223"/>
      <c r="K58" s="84"/>
      <c r="L58" s="84"/>
      <c r="M58" s="84"/>
      <c r="N58" s="184" t="s">
        <v>203</v>
      </c>
      <c r="O58" s="201"/>
      <c r="P58" s="201"/>
      <c r="Q58" s="213">
        <v>0.06</v>
      </c>
      <c r="R58" s="133" t="str">
        <f>N58</f>
        <v>IATSE Retirement</v>
      </c>
      <c r="S58" s="133"/>
      <c r="T58" s="133"/>
      <c r="U58" s="133"/>
      <c r="V58" s="218">
        <f>Q58</f>
        <v>0.06</v>
      </c>
    </row>
    <row r="59" spans="1:24" s="86" customFormat="1" x14ac:dyDescent="0.45">
      <c r="A59" s="85"/>
      <c r="B59" s="223"/>
      <c r="C59" s="223"/>
      <c r="D59" s="223"/>
      <c r="E59" s="223"/>
      <c r="F59" s="223"/>
      <c r="G59" s="223"/>
      <c r="H59" s="223"/>
      <c r="I59" s="223"/>
      <c r="J59" s="223"/>
      <c r="K59" s="84"/>
      <c r="L59" s="84"/>
      <c r="M59" s="84"/>
      <c r="N59" s="184"/>
      <c r="O59" s="201"/>
      <c r="P59" s="201"/>
      <c r="Q59" s="214"/>
      <c r="R59" s="132"/>
      <c r="S59" s="132"/>
      <c r="T59" s="132"/>
      <c r="U59" s="132"/>
      <c r="V59" s="132"/>
    </row>
    <row r="60" spans="1:24" s="86" customFormat="1" x14ac:dyDescent="0.45">
      <c r="A60" s="84"/>
      <c r="C60" s="84"/>
      <c r="D60" s="84"/>
      <c r="E60" s="84"/>
      <c r="F60" s="84"/>
      <c r="G60" s="84"/>
      <c r="H60" s="84"/>
      <c r="I60" s="84"/>
      <c r="J60" s="84"/>
      <c r="K60" s="84"/>
      <c r="L60" s="84"/>
      <c r="M60" s="84"/>
      <c r="N60" s="189" t="s">
        <v>156</v>
      </c>
      <c r="O60" s="190"/>
      <c r="P60" s="191" t="s">
        <v>157</v>
      </c>
      <c r="Q60" s="192" t="s">
        <v>155</v>
      </c>
      <c r="R60" s="172" t="s">
        <v>156</v>
      </c>
      <c r="S60" s="179" t="s">
        <v>190</v>
      </c>
      <c r="T60" s="173" t="s">
        <v>157</v>
      </c>
      <c r="U60" s="132"/>
      <c r="V60" s="176" t="s">
        <v>155</v>
      </c>
    </row>
    <row r="61" spans="1:24" s="86" customFormat="1" x14ac:dyDescent="0.45">
      <c r="A61" s="84"/>
      <c r="C61" s="84"/>
      <c r="D61" s="84"/>
      <c r="E61" s="84"/>
      <c r="F61" s="84"/>
      <c r="G61" s="84"/>
      <c r="H61" s="84"/>
      <c r="I61" s="84"/>
      <c r="J61" s="84"/>
      <c r="K61" s="84"/>
      <c r="L61" s="84"/>
      <c r="M61" s="84"/>
      <c r="N61" s="202" t="s">
        <v>158</v>
      </c>
      <c r="O61" s="203" t="s">
        <v>192</v>
      </c>
      <c r="P61" s="202" t="s">
        <v>159</v>
      </c>
      <c r="Q61" s="194" cm="1">
        <f t="array" aca="1" ref="Q61" ca="1">IF(O61="Y",VLOOKUP(N61,INDIRECT(P$4),4,0)*INDIRECT(N$3),VLOOKUP(N61,INDIRECT(P$4),4,0))</f>
        <v>8.322263640000001</v>
      </c>
      <c r="R61" s="207" t="str">
        <f t="shared" ref="R61:T72" si="19">N61</f>
        <v>LDD</v>
      </c>
      <c r="S61" s="208" t="str">
        <f t="shared" si="19"/>
        <v>Y</v>
      </c>
      <c r="T61" s="207" t="str">
        <f>P61</f>
        <v>Perfm 3 Stagehands/Dbl/</v>
      </c>
      <c r="U61" s="209"/>
      <c r="V61" s="210">
        <f t="shared" ref="V61:V72" ca="1" si="20">ROUND(Q61,3)</f>
        <v>8.3219999999999992</v>
      </c>
    </row>
    <row r="62" spans="1:24" s="86" customFormat="1" x14ac:dyDescent="0.45">
      <c r="A62" s="84"/>
      <c r="C62" s="84"/>
      <c r="D62" s="84"/>
      <c r="E62" s="84"/>
      <c r="F62" s="84"/>
      <c r="G62" s="84"/>
      <c r="H62" s="84"/>
      <c r="I62" s="84"/>
      <c r="J62" s="84"/>
      <c r="K62" s="84"/>
      <c r="L62" s="84"/>
      <c r="M62" s="84"/>
      <c r="N62" s="202" t="s">
        <v>160</v>
      </c>
      <c r="O62" s="203" t="s">
        <v>192</v>
      </c>
      <c r="P62" s="202" t="s">
        <v>161</v>
      </c>
      <c r="Q62" s="194" cm="1">
        <f t="array" aca="1" ref="Q62" ca="1">IF(O62="Y",VLOOKUP(N62,INDIRECT(P$4),4,0)*INDIRECT(N$3),VLOOKUP(N62,INDIRECT(P$4),4,0))</f>
        <v>8.322263640000001</v>
      </c>
      <c r="R62" s="207" t="str">
        <f t="shared" si="19"/>
        <v>LDR</v>
      </c>
      <c r="S62" s="208" t="str">
        <f t="shared" si="19"/>
        <v>Y</v>
      </c>
      <c r="T62" s="207" t="str">
        <f t="shared" si="19"/>
        <v>Perfm 3 Stagehands</v>
      </c>
      <c r="U62" s="209"/>
      <c r="V62" s="210">
        <f t="shared" ca="1" si="20"/>
        <v>8.3219999999999992</v>
      </c>
    </row>
    <row r="63" spans="1:24" s="86" customFormat="1" x14ac:dyDescent="0.45">
      <c r="A63" s="84"/>
      <c r="B63" s="84"/>
      <c r="C63" s="84"/>
      <c r="D63" s="84"/>
      <c r="E63" s="84"/>
      <c r="F63" s="84"/>
      <c r="G63" s="84"/>
      <c r="H63" s="84"/>
      <c r="I63" s="84"/>
      <c r="J63" s="84"/>
      <c r="K63" s="84"/>
      <c r="L63" s="84"/>
      <c r="M63" s="84"/>
      <c r="N63" s="202" t="s">
        <v>162</v>
      </c>
      <c r="O63" s="203" t="s">
        <v>192</v>
      </c>
      <c r="P63" s="202" t="s">
        <v>163</v>
      </c>
      <c r="Q63" s="194" cm="1">
        <f t="array" aca="1" ref="Q63" ca="1">IF(O63="Y",VLOOKUP(N63,INDIRECT(P$4),4,0)*INDIRECT(N$3),VLOOKUP(N63,INDIRECT(P$4),4,0))</f>
        <v>8.322263640000001</v>
      </c>
      <c r="R63" s="207" t="str">
        <f t="shared" si="19"/>
        <v>LDT</v>
      </c>
      <c r="S63" s="208" t="str">
        <f t="shared" si="19"/>
        <v>Y</v>
      </c>
      <c r="T63" s="207" t="str">
        <f t="shared" si="19"/>
        <v>Perfm 3 Stagehands/1.5/</v>
      </c>
      <c r="U63" s="209"/>
      <c r="V63" s="210">
        <f t="shared" ca="1" si="20"/>
        <v>8.3219999999999992</v>
      </c>
    </row>
    <row r="64" spans="1:24" s="86" customFormat="1" x14ac:dyDescent="0.45">
      <c r="A64" s="89"/>
      <c r="B64" s="101"/>
      <c r="C64" s="107"/>
      <c r="D64" s="107"/>
      <c r="E64" s="84"/>
      <c r="F64" s="84"/>
      <c r="G64" s="84"/>
      <c r="H64" s="84"/>
      <c r="I64" s="84"/>
      <c r="J64" s="84"/>
      <c r="K64" s="84"/>
      <c r="L64" s="84"/>
      <c r="M64" s="84"/>
      <c r="N64" s="202" t="s">
        <v>164</v>
      </c>
      <c r="O64" s="203" t="s">
        <v>192</v>
      </c>
      <c r="P64" s="202" t="s">
        <v>165</v>
      </c>
      <c r="Q64" s="194" cm="1">
        <f t="array" aca="1" ref="Q64" ca="1">IF(O64="Y",VLOOKUP(N64,INDIRECT(P$4),4,0)*INDIRECT(N$3),VLOOKUP(N64,INDIRECT(P$4),4,0))</f>
        <v>17.556307830000002</v>
      </c>
      <c r="R64" s="207" t="str">
        <f t="shared" si="19"/>
        <v>RTD</v>
      </c>
      <c r="S64" s="208" t="str">
        <f t="shared" si="19"/>
        <v>Y</v>
      </c>
      <c r="T64" s="207" t="str">
        <f t="shared" si="19"/>
        <v>L13 Tmp Rig Prm Dbl Hrs/</v>
      </c>
      <c r="U64" s="209"/>
      <c r="V64" s="210">
        <f t="shared" ca="1" si="20"/>
        <v>17.556000000000001</v>
      </c>
    </row>
    <row r="65" spans="1:22" s="86" customFormat="1" x14ac:dyDescent="0.45">
      <c r="A65" s="99"/>
      <c r="B65" s="83"/>
      <c r="C65" s="83"/>
      <c r="D65" s="84"/>
      <c r="E65" s="84"/>
      <c r="F65" s="84"/>
      <c r="G65" s="84"/>
      <c r="H65" s="84"/>
      <c r="I65" s="84"/>
      <c r="J65" s="84"/>
      <c r="K65" s="84"/>
      <c r="L65" s="84"/>
      <c r="M65" s="84"/>
      <c r="N65" s="202" t="s">
        <v>166</v>
      </c>
      <c r="O65" s="203" t="s">
        <v>192</v>
      </c>
      <c r="P65" s="202" t="s">
        <v>167</v>
      </c>
      <c r="Q65" s="194" cm="1">
        <f t="array" aca="1" ref="Q65" ca="1">IF(O65="Y",VLOOKUP(N65,INDIRECT(P$4),4,0)*INDIRECT(N$3),VLOOKUP(N65,INDIRECT(P$4),4,0))</f>
        <v>17.556307830000002</v>
      </c>
      <c r="R65" s="207" t="str">
        <f t="shared" si="19"/>
        <v>RTG</v>
      </c>
      <c r="S65" s="208" t="str">
        <f t="shared" si="19"/>
        <v>Y</v>
      </c>
      <c r="T65" s="207" t="str">
        <f t="shared" si="19"/>
        <v>L13 Tmp Rig Prm Reg Hrs/</v>
      </c>
      <c r="U65" s="209"/>
      <c r="V65" s="210">
        <f t="shared" ca="1" si="20"/>
        <v>17.556000000000001</v>
      </c>
    </row>
    <row r="66" spans="1:22" s="86" customFormat="1" x14ac:dyDescent="0.45">
      <c r="A66" s="84"/>
      <c r="B66" s="84"/>
      <c r="C66" s="84"/>
      <c r="D66" s="84"/>
      <c r="E66" s="84"/>
      <c r="F66" s="84"/>
      <c r="G66" s="84"/>
      <c r="H66" s="84"/>
      <c r="I66" s="84"/>
      <c r="J66" s="84"/>
      <c r="K66" s="84"/>
      <c r="L66" s="84"/>
      <c r="M66" s="84"/>
      <c r="N66" s="202" t="s">
        <v>168</v>
      </c>
      <c r="O66" s="203" t="s">
        <v>192</v>
      </c>
      <c r="P66" s="202" t="s">
        <v>169</v>
      </c>
      <c r="Q66" s="194" cm="1">
        <f t="array" aca="1" ref="Q66" ca="1">IF(O66="Y",VLOOKUP(N66,INDIRECT(P$4),4,0)*INDIRECT(N$3),VLOOKUP(N66,INDIRECT(P$4),4,0))</f>
        <v>17.556307830000002</v>
      </c>
      <c r="R66" s="207" t="str">
        <f t="shared" si="19"/>
        <v>RTT</v>
      </c>
      <c r="S66" s="208" t="str">
        <f t="shared" si="19"/>
        <v>Y</v>
      </c>
      <c r="T66" s="207" t="str">
        <f t="shared" si="19"/>
        <v>L13Tmp Rig Pm 1 1/2 Hrs/</v>
      </c>
      <c r="U66" s="209"/>
      <c r="V66" s="210">
        <f t="shared" ca="1" si="20"/>
        <v>17.556000000000001</v>
      </c>
    </row>
    <row r="67" spans="1:22" s="86" customFormat="1" x14ac:dyDescent="0.45">
      <c r="A67" s="84"/>
      <c r="B67" s="84"/>
      <c r="C67" s="84"/>
      <c r="D67" s="84"/>
      <c r="E67" s="84"/>
      <c r="F67" s="84"/>
      <c r="G67" s="84"/>
      <c r="H67" s="84"/>
      <c r="I67" s="84"/>
      <c r="J67" s="84"/>
      <c r="K67" s="84"/>
      <c r="L67" s="84"/>
      <c r="M67" s="84"/>
      <c r="N67" s="202" t="s">
        <v>170</v>
      </c>
      <c r="O67" s="203" t="s">
        <v>192</v>
      </c>
      <c r="P67" s="202" t="s">
        <v>171</v>
      </c>
      <c r="Q67" s="194" cm="1">
        <f t="array" aca="1" ref="Q67" ca="1">IF(O67="Y",VLOOKUP(N67,INDIRECT(P$4),4,0)*INDIRECT(N$3),VLOOKUP(N67,INDIRECT(P$4),4,0))</f>
        <v>7.0628334299999969</v>
      </c>
      <c r="R67" s="207" t="str">
        <f t="shared" si="19"/>
        <v>SPD</v>
      </c>
      <c r="S67" s="208" t="str">
        <f t="shared" si="19"/>
        <v>Y</v>
      </c>
      <c r="T67" s="207" t="str">
        <f t="shared" si="19"/>
        <v>Perfm 2 Stagehands/Dbl/</v>
      </c>
      <c r="U67" s="209"/>
      <c r="V67" s="210">
        <f t="shared" ca="1" si="20"/>
        <v>7.0629999999999997</v>
      </c>
    </row>
    <row r="68" spans="1:22" s="86" customFormat="1" x14ac:dyDescent="0.45">
      <c r="A68" s="84"/>
      <c r="B68" s="84"/>
      <c r="C68" s="84"/>
      <c r="D68" s="84"/>
      <c r="E68" s="84"/>
      <c r="F68" s="84"/>
      <c r="G68" s="84"/>
      <c r="H68" s="84"/>
      <c r="I68" s="84"/>
      <c r="J68" s="84"/>
      <c r="K68" s="84"/>
      <c r="L68" s="84"/>
      <c r="M68" s="84"/>
      <c r="N68" s="202" t="s">
        <v>172</v>
      </c>
      <c r="O68" s="203" t="s">
        <v>192</v>
      </c>
      <c r="P68" s="202" t="s">
        <v>173</v>
      </c>
      <c r="Q68" s="194" cm="1">
        <f t="array" aca="1" ref="Q68" ca="1">IF(O68="Y",VLOOKUP(N68,INDIRECT(P$4),4,0)*INDIRECT(N$3),VLOOKUP(N68,INDIRECT(P$4),4,0))</f>
        <v>7.0628334299999969</v>
      </c>
      <c r="R68" s="207" t="str">
        <f t="shared" si="19"/>
        <v>SPR</v>
      </c>
      <c r="S68" s="208" t="str">
        <f t="shared" si="19"/>
        <v>Y</v>
      </c>
      <c r="T68" s="207" t="str">
        <f t="shared" si="19"/>
        <v>Perfm 2 Stagehands/</v>
      </c>
      <c r="U68" s="209"/>
      <c r="V68" s="210">
        <f t="shared" ca="1" si="20"/>
        <v>7.0629999999999997</v>
      </c>
    </row>
    <row r="69" spans="1:22" s="86" customFormat="1" x14ac:dyDescent="0.45">
      <c r="A69" s="84"/>
      <c r="B69" s="84"/>
      <c r="C69" s="84"/>
      <c r="D69" s="84"/>
      <c r="E69" s="84"/>
      <c r="F69" s="84"/>
      <c r="G69" s="84"/>
      <c r="H69" s="84"/>
      <c r="I69" s="84"/>
      <c r="J69" s="84"/>
      <c r="K69" s="84"/>
      <c r="L69" s="84"/>
      <c r="M69" s="84"/>
      <c r="N69" s="202" t="s">
        <v>174</v>
      </c>
      <c r="O69" s="203" t="s">
        <v>192</v>
      </c>
      <c r="P69" s="202" t="s">
        <v>175</v>
      </c>
      <c r="Q69" s="194" cm="1">
        <f t="array" aca="1" ref="Q69" ca="1">IF(O69="Y",VLOOKUP(N69,INDIRECT(P$4),4,0)*INDIRECT(N$3),VLOOKUP(N69,INDIRECT(P$4),4,0))</f>
        <v>7.0628334299999969</v>
      </c>
      <c r="R69" s="207" t="str">
        <f t="shared" si="19"/>
        <v>SPT</v>
      </c>
      <c r="S69" s="208" t="str">
        <f t="shared" si="19"/>
        <v>Y</v>
      </c>
      <c r="T69" s="207" t="str">
        <f t="shared" si="19"/>
        <v>Perfm 2 Stagehands/1.5/</v>
      </c>
      <c r="U69" s="209"/>
      <c r="V69" s="210">
        <f t="shared" ca="1" si="20"/>
        <v>7.0629999999999997</v>
      </c>
    </row>
    <row r="70" spans="1:22" s="86" customFormat="1" x14ac:dyDescent="0.45">
      <c r="A70" s="84"/>
      <c r="B70" s="84"/>
      <c r="C70" s="84"/>
      <c r="D70" s="84"/>
      <c r="E70" s="84"/>
      <c r="F70" s="84"/>
      <c r="G70" s="84"/>
      <c r="H70" s="84"/>
      <c r="I70" s="84"/>
      <c r="J70" s="84"/>
      <c r="K70" s="84"/>
      <c r="L70" s="84"/>
      <c r="M70" s="84"/>
      <c r="N70" s="202" t="s">
        <v>176</v>
      </c>
      <c r="O70" s="203" t="s">
        <v>192</v>
      </c>
      <c r="P70" s="202" t="s">
        <v>177</v>
      </c>
      <c r="Q70" s="194" cm="1">
        <f t="array" aca="1" ref="Q70" ca="1">IF(O70="Y",VLOOKUP(N70,INDIRECT(P$4),4,0)*INDIRECT(N$3),VLOOKUP(N70,INDIRECT(P$4),4,0))</f>
        <v>1.9195380000000006</v>
      </c>
      <c r="R70" s="207" t="str">
        <f t="shared" si="19"/>
        <v>STD</v>
      </c>
      <c r="S70" s="208" t="str">
        <f t="shared" si="19"/>
        <v>Y</v>
      </c>
      <c r="T70" s="207" t="str">
        <f t="shared" si="19"/>
        <v>Perfm 1 Stagehands/Dbl</v>
      </c>
      <c r="U70" s="209"/>
      <c r="V70" s="210">
        <f t="shared" ca="1" si="20"/>
        <v>1.92</v>
      </c>
    </row>
    <row r="71" spans="1:22" s="86" customFormat="1" x14ac:dyDescent="0.45">
      <c r="A71" s="84"/>
      <c r="B71" s="84"/>
      <c r="C71" s="84"/>
      <c r="D71" s="84"/>
      <c r="E71" s="84"/>
      <c r="F71" s="84"/>
      <c r="G71" s="84"/>
      <c r="H71" s="84"/>
      <c r="I71" s="84"/>
      <c r="J71" s="84"/>
      <c r="K71" s="84"/>
      <c r="L71" s="84"/>
      <c r="M71" s="84"/>
      <c r="N71" s="202" t="s">
        <v>178</v>
      </c>
      <c r="O71" s="203" t="s">
        <v>192</v>
      </c>
      <c r="P71" s="202" t="s">
        <v>179</v>
      </c>
      <c r="Q71" s="194" cm="1">
        <f t="array" aca="1" ref="Q71" ca="1">IF(O71="Y",VLOOKUP(N71,INDIRECT(P$4),4,0)*INDIRECT(N$3),VLOOKUP(N71,INDIRECT(P$4),4,0))</f>
        <v>1.9195380000000006</v>
      </c>
      <c r="R71" s="207" t="str">
        <f t="shared" si="19"/>
        <v>STG</v>
      </c>
      <c r="S71" s="208" t="str">
        <f t="shared" si="19"/>
        <v>Y</v>
      </c>
      <c r="T71" s="207" t="str">
        <f t="shared" si="19"/>
        <v>Perfm 1 Stagehands</v>
      </c>
      <c r="U71" s="209"/>
      <c r="V71" s="210">
        <f t="shared" ca="1" si="20"/>
        <v>1.92</v>
      </c>
    </row>
    <row r="72" spans="1:22" s="86" customFormat="1" x14ac:dyDescent="0.45">
      <c r="A72" s="84"/>
      <c r="B72" s="84"/>
      <c r="C72" s="84"/>
      <c r="D72" s="84"/>
      <c r="E72" s="84"/>
      <c r="F72" s="84"/>
      <c r="G72" s="84"/>
      <c r="H72" s="84"/>
      <c r="I72" s="84"/>
      <c r="J72" s="84"/>
      <c r="K72" s="84"/>
      <c r="L72" s="84"/>
      <c r="M72" s="84"/>
      <c r="N72" s="202" t="s">
        <v>180</v>
      </c>
      <c r="O72" s="203" t="s">
        <v>192</v>
      </c>
      <c r="P72" s="202" t="s">
        <v>181</v>
      </c>
      <c r="Q72" s="194" cm="1">
        <f t="array" aca="1" ref="Q72" ca="1">IF(O72="Y",VLOOKUP(N72,INDIRECT(P$4),4,0)*INDIRECT(N$3),VLOOKUP(N72,INDIRECT(P$4),4,0))</f>
        <v>1.9195380000000006</v>
      </c>
      <c r="R72" s="207" t="str">
        <f t="shared" si="19"/>
        <v>STT</v>
      </c>
      <c r="S72" s="208" t="str">
        <f t="shared" si="19"/>
        <v>Y</v>
      </c>
      <c r="T72" s="207" t="str">
        <f t="shared" si="19"/>
        <v>Perfm 1 Stagehands/1.5</v>
      </c>
      <c r="U72" s="209"/>
      <c r="V72" s="210">
        <f t="shared" ca="1" si="20"/>
        <v>1.92</v>
      </c>
    </row>
    <row r="73" spans="1:22" x14ac:dyDescent="0.45">
      <c r="N73" s="187" t="s">
        <v>204</v>
      </c>
      <c r="O73" s="188" t="s">
        <v>192</v>
      </c>
      <c r="P73" s="184" t="s">
        <v>205</v>
      </c>
      <c r="Q73" s="194" cm="1">
        <f t="array" aca="1" ref="Q73" ca="1">IF(O73="Y",VLOOKUP(N73,INDIRECT(P$4),4,0)*INDIRECT(N$3),VLOOKUP(N73,INDIRECT(P$4),4,0))</f>
        <v>19.647307829999999</v>
      </c>
      <c r="R73" s="207" t="str">
        <f t="shared" ref="R73:R75" si="21">N73</f>
        <v>LRR</v>
      </c>
      <c r="S73" s="208" t="str">
        <f t="shared" ref="S73:S75" si="22">O73</f>
        <v>Y</v>
      </c>
      <c r="T73" s="207" t="str">
        <f t="shared" ref="T73:T75" si="23">P73</f>
        <v>ETCP Lead Rigger- temp</v>
      </c>
      <c r="U73" s="209"/>
      <c r="V73" s="210">
        <f t="shared" ref="V73:V75" ca="1" si="24">ROUND(Q73,3)</f>
        <v>19.646999999999998</v>
      </c>
    </row>
    <row r="74" spans="1:22" x14ac:dyDescent="0.45">
      <c r="N74" s="187" t="s">
        <v>206</v>
      </c>
      <c r="O74" s="188" t="s">
        <v>192</v>
      </c>
      <c r="P74" s="184" t="s">
        <v>207</v>
      </c>
      <c r="Q74" s="194" cm="1">
        <f t="array" aca="1" ref="Q74" ca="1">IF(O74="Y",VLOOKUP(N74,INDIRECT(P$4),4,0)*INDIRECT(N$3),VLOOKUP(N74,INDIRECT(P$4),4,0))</f>
        <v>19.647307829999999</v>
      </c>
      <c r="R74" s="207" t="str">
        <f t="shared" si="21"/>
        <v>LRT</v>
      </c>
      <c r="S74" s="208" t="str">
        <f t="shared" si="22"/>
        <v>Y</v>
      </c>
      <c r="T74" s="207" t="str">
        <f t="shared" si="23"/>
        <v>ETCP Lead Rigger- 1.5</v>
      </c>
      <c r="U74" s="209"/>
      <c r="V74" s="210">
        <f t="shared" ca="1" si="24"/>
        <v>19.646999999999998</v>
      </c>
    </row>
    <row r="75" spans="1:22" x14ac:dyDescent="0.45">
      <c r="N75" s="187" t="s">
        <v>208</v>
      </c>
      <c r="O75" s="188" t="s">
        <v>192</v>
      </c>
      <c r="P75" s="184" t="s">
        <v>209</v>
      </c>
      <c r="Q75" s="194" cm="1">
        <f t="array" aca="1" ref="Q75" ca="1">IF(O75="Y",VLOOKUP(N75,INDIRECT(P$4),4,0)*INDIRECT(N$3),VLOOKUP(N75,INDIRECT(P$4),4,0))</f>
        <v>19.647307829999999</v>
      </c>
      <c r="R75" s="207" t="str">
        <f t="shared" si="21"/>
        <v>LRD</v>
      </c>
      <c r="S75" s="208" t="str">
        <f t="shared" si="22"/>
        <v>Y</v>
      </c>
      <c r="T75" s="207" t="str">
        <f t="shared" si="23"/>
        <v>ETCP Lead Rigger@2</v>
      </c>
      <c r="U75" s="209"/>
      <c r="V75" s="210">
        <f t="shared" ca="1" si="24"/>
        <v>19.646999999999998</v>
      </c>
    </row>
  </sheetData>
  <mergeCells count="3">
    <mergeCell ref="A45:J45"/>
    <mergeCell ref="A53:J53"/>
    <mergeCell ref="A57:J57"/>
  </mergeCells>
  <pageMargins left="0.28999999999999998" right="0" top="0.34" bottom="0.25" header="0.19" footer="0.26"/>
  <pageSetup orientation="landscape" r:id="rId1"/>
  <headerFooter alignWithMargins="0">
    <oddFooter>&amp;L&amp;8Last Updated:  &amp;D&amp;R&amp;8Page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99852-389B-48E7-80C6-FB0EDEA5CD4A}">
  <dimension ref="A1:UY77"/>
  <sheetViews>
    <sheetView showGridLines="0" tabSelected="1" topLeftCell="A2" workbookViewId="0">
      <selection activeCell="C38" sqref="C38:D43"/>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customWidth="1"/>
    <col min="13" max="13" width="5.59765625" style="84" customWidth="1"/>
    <col min="14" max="14" width="13.265625" style="187" hidden="1" customWidth="1"/>
    <col min="15" max="15" width="13.265625" style="188" hidden="1" customWidth="1"/>
    <col min="16" max="16" width="27.3984375" style="184" hidden="1" customWidth="1"/>
    <col min="17" max="17" width="15.86328125" style="185" hidden="1" customWidth="1"/>
    <col min="18" max="18" width="13.265625" style="132" hidden="1" customWidth="1"/>
    <col min="19" max="19" width="7.59765625" style="204" hidden="1" customWidth="1"/>
    <col min="20" max="20" width="22" style="132" hidden="1" customWidth="1"/>
    <col min="21" max="21" width="9.3984375" style="204" hidden="1" customWidth="1"/>
    <col min="22" max="22" width="7.59765625" style="132" hidden="1" customWidth="1"/>
    <col min="23" max="23" width="8.265625" style="86" hidden="1" customWidth="1"/>
    <col min="24" max="24" width="9.3984375" style="86" hidden="1" customWidth="1"/>
    <col min="25" max="26" width="0" style="86" hidden="1" customWidth="1"/>
    <col min="27" max="16384" width="5.59765625" style="84"/>
  </cols>
  <sheetData>
    <row r="1" spans="1:26" s="224" customFormat="1" ht="15.75" x14ac:dyDescent="0.5">
      <c r="A1" s="232" t="s">
        <v>182</v>
      </c>
      <c r="N1" s="225"/>
      <c r="O1" s="226"/>
      <c r="P1" s="227"/>
      <c r="Q1" s="228"/>
      <c r="R1" s="229"/>
      <c r="S1" s="230"/>
      <c r="T1" s="229"/>
      <c r="U1" s="230"/>
      <c r="V1" s="229"/>
      <c r="W1" s="231"/>
      <c r="X1" s="231"/>
      <c r="Y1" s="231"/>
      <c r="Z1" s="231"/>
    </row>
    <row r="2" spans="1:26" s="86" customFormat="1" ht="15.75" x14ac:dyDescent="0.5">
      <c r="A2" s="82" t="s">
        <v>26</v>
      </c>
      <c r="B2" s="83"/>
      <c r="C2" s="83"/>
      <c r="D2" s="84"/>
      <c r="E2" s="84"/>
      <c r="F2" s="84"/>
      <c r="G2" s="85" t="s">
        <v>27</v>
      </c>
      <c r="H2" s="83"/>
      <c r="I2" s="84"/>
      <c r="J2" s="84"/>
      <c r="K2" s="84"/>
      <c r="M2" s="84"/>
      <c r="N2" s="184" t="s">
        <v>235</v>
      </c>
      <c r="O2" s="185"/>
      <c r="P2" s="186">
        <v>1.04</v>
      </c>
      <c r="Q2" s="185"/>
      <c r="R2" s="132"/>
      <c r="S2" s="204"/>
      <c r="T2" s="132"/>
      <c r="U2" s="204"/>
      <c r="V2" s="132"/>
    </row>
    <row r="3" spans="1:26" s="86" customFormat="1" x14ac:dyDescent="0.45">
      <c r="A3" s="88" t="s">
        <v>28</v>
      </c>
      <c r="B3" s="83"/>
      <c r="C3" s="83"/>
      <c r="D3" s="84"/>
      <c r="E3" s="84"/>
      <c r="F3" s="84"/>
      <c r="G3" s="84"/>
      <c r="H3" s="83"/>
      <c r="I3" s="84"/>
      <c r="J3" s="84"/>
      <c r="K3" s="84"/>
      <c r="L3" s="84"/>
      <c r="M3" s="84"/>
      <c r="N3" s="184" t="s">
        <v>239</v>
      </c>
      <c r="O3" s="201"/>
      <c r="P3" s="211">
        <v>1.04</v>
      </c>
      <c r="Q3" s="185"/>
      <c r="R3" s="132"/>
      <c r="S3" s="204"/>
      <c r="T3" s="132"/>
      <c r="U3" s="204"/>
      <c r="V3" s="132"/>
    </row>
    <row r="4" spans="1:26" s="86" customFormat="1" x14ac:dyDescent="0.45">
      <c r="A4" s="89" t="s">
        <v>238</v>
      </c>
      <c r="B4" s="83"/>
      <c r="C4" s="83"/>
      <c r="D4" s="84"/>
      <c r="E4" s="84"/>
      <c r="F4" s="84"/>
      <c r="G4" s="84"/>
      <c r="H4" s="83"/>
      <c r="I4" s="84"/>
      <c r="J4" s="84"/>
      <c r="K4" s="84"/>
      <c r="L4" s="84"/>
      <c r="M4" s="84"/>
      <c r="N4" s="187" t="s">
        <v>186</v>
      </c>
      <c r="O4" s="188"/>
      <c r="P4" s="184" t="s">
        <v>234</v>
      </c>
      <c r="Q4" s="185"/>
      <c r="R4" s="132"/>
      <c r="S4" s="204"/>
      <c r="T4" s="132"/>
      <c r="U4" s="204"/>
      <c r="V4" s="132"/>
    </row>
    <row r="5" spans="1:26" s="86" customFormat="1" x14ac:dyDescent="0.45">
      <c r="A5" s="222" t="s">
        <v>232</v>
      </c>
      <c r="B5" s="83"/>
      <c r="C5" s="83"/>
      <c r="D5" s="84"/>
      <c r="E5" s="84"/>
      <c r="F5" s="84"/>
      <c r="G5" s="84"/>
      <c r="H5" s="83"/>
      <c r="I5" s="84"/>
      <c r="J5" s="84"/>
      <c r="K5" s="84"/>
      <c r="L5" s="84"/>
      <c r="M5" s="84"/>
      <c r="N5" s="187"/>
      <c r="O5" s="188"/>
      <c r="P5" s="184"/>
      <c r="Q5" s="185"/>
      <c r="R5" s="132"/>
      <c r="S5" s="204"/>
      <c r="T5" s="132"/>
      <c r="U5" s="204"/>
      <c r="V5" s="132"/>
    </row>
    <row r="6" spans="1:26" s="86" customFormat="1" x14ac:dyDescent="0.45">
      <c r="A6" s="221"/>
      <c r="B6" s="83"/>
      <c r="C6" s="83"/>
      <c r="D6" s="84"/>
      <c r="E6" s="84"/>
      <c r="F6" s="84"/>
      <c r="G6" s="84"/>
      <c r="H6" s="83"/>
      <c r="I6" s="84"/>
      <c r="J6" s="84"/>
      <c r="K6" s="84"/>
      <c r="L6" s="84"/>
      <c r="M6" s="84"/>
      <c r="N6" s="187"/>
      <c r="O6" s="188"/>
      <c r="P6" s="184"/>
      <c r="Q6" s="185"/>
      <c r="R6" s="132"/>
      <c r="S6" s="204"/>
      <c r="T6" s="132"/>
      <c r="U6" s="204"/>
      <c r="V6" s="132"/>
    </row>
    <row r="7" spans="1:26" s="86" customFormat="1" x14ac:dyDescent="0.45">
      <c r="A7" s="88" t="s">
        <v>233</v>
      </c>
      <c r="B7" s="83"/>
      <c r="C7" s="83"/>
      <c r="D7" s="84"/>
      <c r="E7" s="84"/>
      <c r="F7" s="84"/>
      <c r="G7" s="84"/>
      <c r="H7" s="83"/>
      <c r="I7" s="84"/>
      <c r="J7" s="84"/>
      <c r="K7" s="84"/>
      <c r="L7" s="84"/>
      <c r="M7" s="84"/>
      <c r="N7" s="187"/>
      <c r="O7" s="188"/>
      <c r="P7" s="184"/>
      <c r="Q7" s="185"/>
      <c r="R7" s="132"/>
      <c r="S7" s="204"/>
      <c r="T7" s="132"/>
      <c r="U7" s="204"/>
      <c r="V7" s="132"/>
    </row>
    <row r="8" spans="1:26" s="86" customFormat="1" ht="62.65" x14ac:dyDescent="0.45">
      <c r="A8" s="90" t="s">
        <v>31</v>
      </c>
      <c r="B8" s="91" t="s">
        <v>101</v>
      </c>
      <c r="C8" s="92" t="s">
        <v>102</v>
      </c>
      <c r="D8" s="91" t="s">
        <v>103</v>
      </c>
      <c r="E8" s="93" t="s">
        <v>12</v>
      </c>
      <c r="F8" s="93" t="s">
        <v>32</v>
      </c>
      <c r="G8" s="90" t="s">
        <v>104</v>
      </c>
      <c r="H8" s="90" t="s">
        <v>105</v>
      </c>
      <c r="I8" s="94"/>
      <c r="J8" s="94"/>
      <c r="K8" s="84"/>
      <c r="L8" s="84"/>
      <c r="M8" s="84"/>
      <c r="N8" s="189" t="s">
        <v>3</v>
      </c>
      <c r="O8" s="190" t="s">
        <v>190</v>
      </c>
      <c r="P8" s="191" t="s">
        <v>6</v>
      </c>
      <c r="Q8" s="192" t="s">
        <v>155</v>
      </c>
      <c r="R8" s="172" t="s">
        <v>3</v>
      </c>
      <c r="S8" s="179" t="s">
        <v>190</v>
      </c>
      <c r="T8" s="172" t="s">
        <v>191</v>
      </c>
      <c r="U8" s="176" t="s">
        <v>6</v>
      </c>
      <c r="V8" s="176" t="s">
        <v>155</v>
      </c>
    </row>
    <row r="9" spans="1:26" s="86" customFormat="1" x14ac:dyDescent="0.45">
      <c r="A9" s="83" t="s">
        <v>39</v>
      </c>
      <c r="B9" s="83" t="s">
        <v>19</v>
      </c>
      <c r="C9" s="84" t="s">
        <v>41</v>
      </c>
      <c r="D9" s="83">
        <v>293</v>
      </c>
      <c r="E9" s="83">
        <v>6</v>
      </c>
      <c r="F9" s="95" t="s">
        <v>22</v>
      </c>
      <c r="G9" s="83" t="s">
        <v>42</v>
      </c>
      <c r="H9" s="96">
        <f ca="1">Q9</f>
        <v>38.334297680249982</v>
      </c>
      <c r="I9" s="84"/>
      <c r="J9" s="84"/>
      <c r="K9" s="84"/>
      <c r="L9" s="84"/>
      <c r="M9" s="84"/>
      <c r="N9" s="187" t="str">
        <f>B9</f>
        <v>08310C</v>
      </c>
      <c r="O9" s="188" t="s">
        <v>192</v>
      </c>
      <c r="P9" s="193" t="s">
        <v>40</v>
      </c>
      <c r="Q9" s="194" cm="1">
        <f t="array" aca="1" ref="Q9" ca="1">IF(O9="Y",VLOOKUP(N9,INDIRECT(P$4),4,0)*INDIRECT(N$2),VLOOKUP(N9,INDIRECT(P$4),4,0))</f>
        <v>38.334297680249982</v>
      </c>
      <c r="R9" s="133" t="str">
        <f>N9</f>
        <v>08310C</v>
      </c>
      <c r="S9" s="175" t="str">
        <f>O9</f>
        <v>Y</v>
      </c>
      <c r="T9" s="133" t="str">
        <f>C9</f>
        <v>Production Technician I</v>
      </c>
      <c r="U9" s="205" t="str">
        <f>P9</f>
        <v>CPT 01</v>
      </c>
      <c r="V9" s="135">
        <f ca="1">ROUND(Q9,3)</f>
        <v>38.334000000000003</v>
      </c>
      <c r="W9" s="241"/>
    </row>
    <row r="10" spans="1:26" s="86" customFormat="1" x14ac:dyDescent="0.45">
      <c r="A10" s="83" t="s">
        <v>39</v>
      </c>
      <c r="B10" s="83" t="s">
        <v>23</v>
      </c>
      <c r="C10" s="84" t="s">
        <v>44</v>
      </c>
      <c r="D10" s="83">
        <v>323</v>
      </c>
      <c r="E10" s="83">
        <v>7</v>
      </c>
      <c r="F10" s="95" t="s">
        <v>25</v>
      </c>
      <c r="G10" s="83" t="s">
        <v>42</v>
      </c>
      <c r="H10" s="96">
        <f ca="1">Q10</f>
        <v>42.681203564999997</v>
      </c>
      <c r="I10" s="84"/>
      <c r="J10" s="84"/>
      <c r="K10" s="84"/>
      <c r="L10" s="84"/>
      <c r="M10" s="84"/>
      <c r="N10" s="187" t="str">
        <f>B10</f>
        <v>08311C</v>
      </c>
      <c r="O10" s="188" t="s">
        <v>192</v>
      </c>
      <c r="P10" s="193" t="s">
        <v>148</v>
      </c>
      <c r="Q10" s="194" cm="1">
        <f t="array" aca="1" ref="Q10" ca="1">IF(O10="Y",VLOOKUP(N10,INDIRECT(P$4),4,0)*INDIRECT(N$2),VLOOKUP(N10,INDIRECT(P$4),4,0))</f>
        <v>42.681203564999997</v>
      </c>
      <c r="R10" s="133" t="str">
        <f t="shared" ref="R10:S10" si="0">N10</f>
        <v>08311C</v>
      </c>
      <c r="S10" s="175" t="str">
        <f t="shared" si="0"/>
        <v>Y</v>
      </c>
      <c r="T10" s="133" t="str">
        <f t="shared" ref="T10" si="1">C10</f>
        <v>Production Technician II</v>
      </c>
      <c r="U10" s="205" t="str">
        <f t="shared" ref="U10" si="2">P10</f>
        <v>CPT 02</v>
      </c>
      <c r="V10" s="135">
        <f t="shared" ref="V10" ca="1" si="3">ROUND(Q10,3)</f>
        <v>42.680999999999997</v>
      </c>
      <c r="W10" s="241"/>
    </row>
    <row r="11" spans="1:26" s="86" customFormat="1" ht="9" customHeight="1" x14ac:dyDescent="0.45">
      <c r="A11" s="84"/>
      <c r="B11" s="84"/>
      <c r="C11" s="84"/>
      <c r="D11" s="84"/>
      <c r="E11" s="84"/>
      <c r="F11" s="83"/>
      <c r="G11" s="83"/>
      <c r="H11" s="83"/>
      <c r="I11" s="96"/>
      <c r="J11" s="84"/>
      <c r="K11" s="84"/>
      <c r="L11" s="84"/>
      <c r="M11" s="84"/>
      <c r="N11" s="187"/>
      <c r="O11" s="188"/>
      <c r="P11" s="184"/>
      <c r="Q11" s="194"/>
      <c r="R11" s="133"/>
      <c r="S11" s="175"/>
      <c r="T11" s="133"/>
      <c r="U11" s="205"/>
      <c r="V11" s="135"/>
      <c r="W11" s="241"/>
    </row>
    <row r="12" spans="1:26" s="86" customFormat="1" ht="12" customHeight="1" x14ac:dyDescent="0.45">
      <c r="A12" s="88" t="s">
        <v>193</v>
      </c>
      <c r="B12" s="88"/>
      <c r="C12" s="88"/>
      <c r="E12" s="84"/>
      <c r="F12" s="83"/>
      <c r="G12" s="83" t="s">
        <v>42</v>
      </c>
      <c r="H12" s="96">
        <f ca="1">Q12</f>
        <v>14.885897562249996</v>
      </c>
      <c r="J12" s="84"/>
      <c r="K12" s="84"/>
      <c r="L12" s="84"/>
      <c r="M12" s="84"/>
      <c r="N12" s="195" t="s">
        <v>106</v>
      </c>
      <c r="O12" s="196" t="s">
        <v>192</v>
      </c>
      <c r="P12" s="197" t="s">
        <v>107</v>
      </c>
      <c r="Q12" s="194" cm="1">
        <f t="array" aca="1" ref="Q12" ca="1">IF(O12="Y",VLOOKUP(N12,INDIRECT(P$4),4,0)*INDIRECT(N$2),VLOOKUP(N12,INDIRECT(P$4),4,0))</f>
        <v>14.885897562249996</v>
      </c>
      <c r="R12" s="133" t="str">
        <f t="shared" ref="R12:S12" si="4">N12</f>
        <v>CPTPMR</v>
      </c>
      <c r="S12" s="175" t="str">
        <f t="shared" si="4"/>
        <v>Y</v>
      </c>
      <c r="T12" s="133" t="str">
        <f>P12</f>
        <v>TL-Premium Rigger-CPT</v>
      </c>
      <c r="U12" s="205"/>
      <c r="V12" s="135">
        <f t="shared" ref="V12" ca="1" si="5">ROUND(Q12,3)</f>
        <v>14.885999999999999</v>
      </c>
      <c r="W12" s="241"/>
    </row>
    <row r="13" spans="1:26" s="86" customFormat="1" ht="12" customHeight="1" x14ac:dyDescent="0.45">
      <c r="A13" s="83"/>
      <c r="B13" s="85" t="s">
        <v>194</v>
      </c>
      <c r="C13" s="83"/>
      <c r="E13" s="84"/>
      <c r="F13" s="84"/>
      <c r="G13" s="83"/>
      <c r="H13" s="97"/>
      <c r="I13" s="84"/>
      <c r="J13" s="84"/>
      <c r="K13" s="84"/>
      <c r="L13" s="84"/>
      <c r="M13" s="84"/>
      <c r="N13" s="187"/>
      <c r="O13" s="188"/>
      <c r="P13" s="184"/>
      <c r="Q13" s="185"/>
      <c r="R13" s="132"/>
      <c r="S13" s="204"/>
      <c r="T13" s="132"/>
      <c r="U13" s="204"/>
      <c r="V13" s="132"/>
      <c r="W13" s="241"/>
    </row>
    <row r="14" spans="1:26" s="86" customFormat="1" ht="12" customHeight="1" x14ac:dyDescent="0.45">
      <c r="A14" s="83"/>
      <c r="B14" s="85" t="s">
        <v>47</v>
      </c>
      <c r="C14" s="83"/>
      <c r="D14" s="85"/>
      <c r="E14" s="84"/>
      <c r="F14" s="84"/>
      <c r="G14" s="83"/>
      <c r="H14" s="97"/>
      <c r="I14" s="84"/>
      <c r="J14" s="84"/>
      <c r="K14" s="84"/>
      <c r="L14" s="84"/>
      <c r="M14" s="84"/>
      <c r="N14" s="187"/>
      <c r="O14" s="188"/>
      <c r="P14" s="184"/>
      <c r="Q14" s="185"/>
      <c r="R14" s="132"/>
      <c r="S14" s="204"/>
      <c r="T14" s="132"/>
      <c r="U14" s="204"/>
      <c r="V14" s="132"/>
      <c r="W14" s="241"/>
    </row>
    <row r="15" spans="1:26" s="86" customFormat="1" ht="12" customHeight="1" x14ac:dyDescent="0.45">
      <c r="A15" s="83"/>
      <c r="B15" s="85"/>
      <c r="C15" s="83"/>
      <c r="D15" s="85"/>
      <c r="E15" s="84"/>
      <c r="F15" s="84"/>
      <c r="G15" s="83"/>
      <c r="H15" s="97"/>
      <c r="I15" s="84"/>
      <c r="J15" s="84"/>
      <c r="K15" s="84"/>
      <c r="L15" s="84"/>
      <c r="M15" s="84"/>
      <c r="N15" s="187"/>
      <c r="O15" s="188"/>
      <c r="P15" s="184"/>
      <c r="Q15" s="185"/>
      <c r="R15" s="132"/>
      <c r="S15" s="204"/>
      <c r="T15" s="132"/>
      <c r="U15" s="204"/>
      <c r="V15" s="132"/>
      <c r="W15" s="241"/>
    </row>
    <row r="16" spans="1:26" s="86" customFormat="1" x14ac:dyDescent="0.45">
      <c r="A16" s="99" t="s">
        <v>195</v>
      </c>
      <c r="B16" s="84"/>
      <c r="C16" s="83"/>
      <c r="E16" s="84"/>
      <c r="F16" s="84"/>
      <c r="G16" s="83" t="s">
        <v>42</v>
      </c>
      <c r="H16" s="216">
        <f ca="1">Q16</f>
        <v>17.113837562249998</v>
      </c>
      <c r="I16" s="84"/>
      <c r="J16" s="84"/>
      <c r="K16" s="84"/>
      <c r="L16" s="84"/>
      <c r="M16" s="84"/>
      <c r="N16" s="187" t="s">
        <v>196</v>
      </c>
      <c r="O16" s="188" t="s">
        <v>192</v>
      </c>
      <c r="P16" s="184" t="s">
        <v>197</v>
      </c>
      <c r="Q16" s="194" cm="1">
        <f t="array" aca="1" ref="Q16" ca="1">IF(O16="Y",VLOOKUP(N16,INDIRECT(P$4),4,0)*INDIRECT(N$2),VLOOKUP(N16,INDIRECT(P$4),4,0))</f>
        <v>17.113837562249998</v>
      </c>
      <c r="R16" s="133" t="str">
        <f>N16</f>
        <v>CPTLRG</v>
      </c>
      <c r="S16" s="175" t="str">
        <f>O16</f>
        <v>Y</v>
      </c>
      <c r="T16" s="133" t="str">
        <f>P16</f>
        <v>TL-ETCP Premium Rigger-CPT</v>
      </c>
      <c r="U16" s="175"/>
      <c r="V16" s="135">
        <f ca="1">Q16</f>
        <v>17.113837562249998</v>
      </c>
      <c r="W16" s="241"/>
    </row>
    <row r="17" spans="1:23" s="86" customFormat="1" x14ac:dyDescent="0.45">
      <c r="A17" s="84"/>
      <c r="B17" s="85" t="s">
        <v>198</v>
      </c>
      <c r="C17" s="83"/>
      <c r="E17" s="84"/>
      <c r="F17" s="84"/>
      <c r="G17" s="84"/>
      <c r="H17" s="83"/>
      <c r="I17" s="84"/>
      <c r="J17" s="84"/>
      <c r="K17" s="84"/>
      <c r="L17" s="84"/>
      <c r="M17" s="84"/>
      <c r="N17" s="187"/>
      <c r="O17" s="188"/>
      <c r="P17" s="184"/>
      <c r="Q17" s="185"/>
      <c r="R17" s="132"/>
      <c r="S17" s="204"/>
      <c r="T17" s="132"/>
      <c r="U17" s="204"/>
      <c r="V17" s="132"/>
      <c r="W17" s="241"/>
    </row>
    <row r="18" spans="1:23" s="86" customFormat="1" x14ac:dyDescent="0.45">
      <c r="A18" s="84"/>
      <c r="B18" s="85" t="s">
        <v>199</v>
      </c>
      <c r="C18" s="83"/>
      <c r="D18" s="85"/>
      <c r="E18" s="84"/>
      <c r="F18" s="84"/>
      <c r="G18" s="84"/>
      <c r="H18" s="83"/>
      <c r="I18" s="84"/>
      <c r="J18" s="84"/>
      <c r="K18" s="84"/>
      <c r="L18" s="84"/>
      <c r="M18" s="84"/>
      <c r="N18" s="187"/>
      <c r="O18" s="188"/>
      <c r="P18" s="184"/>
      <c r="Q18" s="185"/>
      <c r="R18" s="132"/>
      <c r="S18" s="204"/>
      <c r="T18" s="132"/>
      <c r="U18" s="204"/>
      <c r="V18" s="132"/>
      <c r="W18" s="241"/>
    </row>
    <row r="19" spans="1:23" s="86" customFormat="1" x14ac:dyDescent="0.45">
      <c r="A19" s="84"/>
      <c r="B19" s="85"/>
      <c r="C19" s="83"/>
      <c r="D19" s="85"/>
      <c r="E19" s="84"/>
      <c r="F19" s="84"/>
      <c r="G19" s="84"/>
      <c r="H19" s="83"/>
      <c r="I19" s="84"/>
      <c r="J19" s="84"/>
      <c r="K19" s="84"/>
      <c r="L19" s="84"/>
      <c r="M19" s="84"/>
      <c r="N19" s="187"/>
      <c r="O19" s="188"/>
      <c r="P19" s="184"/>
      <c r="Q19" s="185"/>
      <c r="R19" s="132"/>
      <c r="S19" s="204"/>
      <c r="T19" s="132"/>
      <c r="U19" s="204"/>
      <c r="V19" s="132"/>
      <c r="W19" s="241"/>
    </row>
    <row r="20" spans="1:23" s="86" customFormat="1" ht="12" customHeight="1" x14ac:dyDescent="0.45">
      <c r="A20" s="99" t="s">
        <v>49</v>
      </c>
      <c r="B20" s="85"/>
      <c r="C20" s="83"/>
      <c r="D20" s="84"/>
      <c r="E20" s="84"/>
      <c r="F20" s="84"/>
      <c r="G20" s="84"/>
      <c r="H20" s="83"/>
      <c r="I20" s="84"/>
      <c r="J20" s="84"/>
      <c r="K20" s="84"/>
      <c r="L20" s="84"/>
      <c r="M20" s="84"/>
      <c r="N20" s="187"/>
      <c r="O20" s="188"/>
      <c r="P20" s="184"/>
      <c r="Q20" s="194"/>
      <c r="R20" s="132"/>
      <c r="S20" s="204"/>
      <c r="T20" s="132"/>
      <c r="U20" s="204"/>
      <c r="V20" s="132"/>
      <c r="W20" s="241"/>
    </row>
    <row r="21" spans="1:23" s="86" customFormat="1" ht="12" customHeight="1" x14ac:dyDescent="0.45">
      <c r="A21" s="100" t="str">
        <f ca="1">"A "&amp;TEXT(Q21,"$#.000")&amp;" per hour shift differential be paid for shifts that start between the hours of 5:00 p.m. and 4:00 a.m."</f>
        <v>A $2.372 per hour shift differential be paid for shifts that start between the hours of 5:00 p.m. and 4:00 a.m.</v>
      </c>
      <c r="B21" s="100"/>
      <c r="C21" s="100"/>
      <c r="D21" s="100"/>
      <c r="E21" s="100"/>
      <c r="F21" s="100"/>
      <c r="G21" s="100"/>
      <c r="H21" s="100"/>
      <c r="I21" s="100"/>
      <c r="J21" s="100"/>
      <c r="K21" s="101"/>
      <c r="L21" s="102"/>
      <c r="M21" s="84"/>
      <c r="N21" s="195" t="s">
        <v>108</v>
      </c>
      <c r="O21" s="196" t="s">
        <v>192</v>
      </c>
      <c r="P21" s="197" t="s">
        <v>109</v>
      </c>
      <c r="Q21" s="194" cm="1">
        <f t="array" aca="1" ref="Q21" ca="1">IF(O21="Y",VLOOKUP(N21,INDIRECT(P$4),4,0)*INDIRECT(N$2),VLOOKUP(N21,INDIRECT(P$4),4,0))</f>
        <v>2.3715585822499996</v>
      </c>
      <c r="R21" s="133" t="str">
        <f t="shared" ref="R21:S21" si="6">N21</f>
        <v>CPTEVE</v>
      </c>
      <c r="S21" s="175" t="str">
        <f t="shared" si="6"/>
        <v>Y</v>
      </c>
      <c r="T21" s="133" t="str">
        <f>P21</f>
        <v>TL-Evening Shift Premium-CPT</v>
      </c>
      <c r="U21" s="205"/>
      <c r="V21" s="135">
        <f t="shared" ref="V21" ca="1" si="7">ROUND(Q21,3)</f>
        <v>2.3719999999999999</v>
      </c>
      <c r="W21" s="241"/>
    </row>
    <row r="22" spans="1:23" s="86" customFormat="1" ht="12" customHeight="1" x14ac:dyDescent="0.45">
      <c r="A22" s="84"/>
      <c r="B22" s="85"/>
      <c r="C22" s="96"/>
      <c r="D22" s="84"/>
      <c r="E22" s="84"/>
      <c r="F22" s="84"/>
      <c r="G22" s="84"/>
      <c r="H22" s="83"/>
      <c r="I22" s="84"/>
      <c r="J22" s="84"/>
      <c r="K22" s="101"/>
      <c r="L22" s="102"/>
      <c r="M22" s="84"/>
      <c r="N22" s="187"/>
      <c r="O22" s="188"/>
      <c r="P22" s="184"/>
      <c r="Q22" s="185"/>
      <c r="R22" s="132"/>
      <c r="S22" s="204"/>
      <c r="T22" s="132"/>
      <c r="U22" s="204"/>
      <c r="V22" s="132"/>
      <c r="W22" s="241"/>
    </row>
    <row r="23" spans="1:23" s="86" customFormat="1" x14ac:dyDescent="0.45">
      <c r="A23" s="100" t="str">
        <f ca="1">"A "&amp;TEXT(Q23,"$#.000")&amp;" per hour shift differential be paid for shifts that start between the hours of 5:00 a.m. and 6:00 a.m., "</f>
        <v xml:space="preserve">A $1.224 per hour shift differential be paid for shifts that start between the hours of 5:00 a.m. and 6:00 a.m., </v>
      </c>
      <c r="B23" s="100"/>
      <c r="C23" s="100"/>
      <c r="D23" s="100"/>
      <c r="E23" s="100"/>
      <c r="F23" s="100"/>
      <c r="G23" s="100"/>
      <c r="H23" s="100"/>
      <c r="I23" s="100"/>
      <c r="J23" s="100"/>
      <c r="K23" s="101"/>
      <c r="L23" s="102"/>
      <c r="M23" s="84"/>
      <c r="N23" s="195" t="s">
        <v>110</v>
      </c>
      <c r="O23" s="196" t="s">
        <v>192</v>
      </c>
      <c r="P23" s="197" t="s">
        <v>111</v>
      </c>
      <c r="Q23" s="194" cm="1">
        <f t="array" aca="1" ref="Q23" ca="1">IF(O23="Y",VLOOKUP(N23,INDIRECT(P$4),4,0)*INDIRECT(N$2),VLOOKUP(N23,INDIRECT(P$4),4,0))</f>
        <v>1.2240302359999997</v>
      </c>
      <c r="R23" s="133" t="str">
        <f t="shared" ref="R23:T24" si="8">N23</f>
        <v>CPTAM1</v>
      </c>
      <c r="S23" s="175" t="str">
        <f t="shared" si="8"/>
        <v>Y</v>
      </c>
      <c r="T23" s="133" t="str">
        <f t="shared" si="8"/>
        <v>TL-Morning Shift Premium CPT</v>
      </c>
      <c r="U23" s="205"/>
      <c r="V23" s="135">
        <f t="shared" ref="V23:V24" ca="1" si="9">ROUND(Q23,3)</f>
        <v>1.224</v>
      </c>
      <c r="W23" s="241"/>
    </row>
    <row r="24" spans="1:23" s="103" customFormat="1" ht="15" customHeight="1" x14ac:dyDescent="0.45">
      <c r="A24" s="103" t="s">
        <v>112</v>
      </c>
      <c r="N24" s="195" t="s">
        <v>113</v>
      </c>
      <c r="O24" s="196" t="s">
        <v>192</v>
      </c>
      <c r="P24" s="197" t="s">
        <v>107</v>
      </c>
      <c r="Q24" s="194" cm="1">
        <f t="array" aca="1" ref="Q24" ca="1">IF(O24="Y",VLOOKUP(N24,INDIRECT(P$4),4,0)*INDIRECT(N$2),VLOOKUP(N24,INDIRECT(P$4),4,0))</f>
        <v>1.2240302359999997</v>
      </c>
      <c r="R24" s="133" t="str">
        <f t="shared" si="8"/>
        <v>CPTNIT</v>
      </c>
      <c r="S24" s="175" t="str">
        <f t="shared" si="8"/>
        <v>Y</v>
      </c>
      <c r="T24" s="133" t="str">
        <f t="shared" si="8"/>
        <v>TL-Premium Rigger-CPT</v>
      </c>
      <c r="U24" s="205"/>
      <c r="V24" s="135">
        <f t="shared" ca="1" si="9"/>
        <v>1.224</v>
      </c>
      <c r="W24" s="241"/>
    </row>
    <row r="25" spans="1:23" s="103" customFormat="1" ht="15" customHeight="1" x14ac:dyDescent="0.45">
      <c r="N25" s="184"/>
      <c r="O25" s="185"/>
      <c r="P25" s="184"/>
      <c r="Q25" s="185"/>
      <c r="R25" s="133"/>
      <c r="S25" s="175"/>
      <c r="T25" s="133"/>
      <c r="U25" s="175"/>
      <c r="V25" s="133"/>
      <c r="W25" s="241"/>
    </row>
    <row r="26" spans="1:23" s="86" customFormat="1" ht="12" customHeight="1" x14ac:dyDescent="0.45">
      <c r="A26" s="99" t="s">
        <v>85</v>
      </c>
      <c r="B26" s="84"/>
      <c r="C26" s="96"/>
      <c r="D26" s="84"/>
      <c r="E26" s="84"/>
      <c r="F26" s="84"/>
      <c r="G26" s="84"/>
      <c r="H26" s="83"/>
      <c r="I26" s="84"/>
      <c r="J26" s="84"/>
      <c r="K26" s="101"/>
      <c r="L26" s="84"/>
      <c r="M26" s="84"/>
      <c r="N26" s="187"/>
      <c r="O26" s="188"/>
      <c r="P26" s="184"/>
      <c r="Q26" s="185"/>
      <c r="R26" s="132"/>
      <c r="S26" s="204"/>
      <c r="T26" s="132"/>
      <c r="U26" s="204"/>
      <c r="V26" s="132"/>
      <c r="W26" s="241"/>
    </row>
    <row r="27" spans="1:23" s="86" customFormat="1" ht="18.75" customHeight="1" x14ac:dyDescent="0.45">
      <c r="A27" s="100" t="str">
        <f>"A "&amp;TEXT(Q27,"$#.00")&amp;" per hour premium be paid for each hour worked as an employer-designated Lead Worker."</f>
        <v>A $2.00 per hour premium be paid for each hour worked as an employer-designated Lead Worker.</v>
      </c>
      <c r="B27" s="100"/>
      <c r="C27" s="100"/>
      <c r="D27" s="100"/>
      <c r="E27" s="100"/>
      <c r="F27" s="100"/>
      <c r="G27" s="100"/>
      <c r="H27" s="100"/>
      <c r="I27" s="100"/>
      <c r="J27" s="100"/>
      <c r="K27" s="101"/>
      <c r="L27" s="102"/>
      <c r="M27" s="84"/>
      <c r="N27" s="195" t="s">
        <v>114</v>
      </c>
      <c r="O27" s="196" t="s">
        <v>192</v>
      </c>
      <c r="P27" s="197" t="s">
        <v>115</v>
      </c>
      <c r="Q27" s="194">
        <v>2</v>
      </c>
      <c r="R27" s="133" t="str">
        <f t="shared" ref="R27:S27" si="10">N27</f>
        <v>CPTLDS</v>
      </c>
      <c r="S27" s="175" t="str">
        <f t="shared" si="10"/>
        <v>Y</v>
      </c>
      <c r="T27" s="133" t="str">
        <f>P27</f>
        <v>TL-Lead Prem (Substitute)-CPT</v>
      </c>
      <c r="U27" s="205"/>
      <c r="V27" s="135">
        <f t="shared" ref="V27" si="11">ROUND(Q27,3)</f>
        <v>2</v>
      </c>
      <c r="W27" s="241"/>
    </row>
    <row r="28" spans="1:23" s="86" customFormat="1" ht="12" customHeight="1" x14ac:dyDescent="0.45">
      <c r="A28" s="85"/>
      <c r="B28" s="85"/>
      <c r="C28" s="96"/>
      <c r="D28" s="84"/>
      <c r="E28" s="84"/>
      <c r="F28" s="84"/>
      <c r="G28" s="84"/>
      <c r="H28" s="83"/>
      <c r="I28" s="84"/>
      <c r="J28" s="84"/>
      <c r="K28" s="101"/>
      <c r="L28" s="84"/>
      <c r="M28" s="84"/>
      <c r="N28" s="187"/>
      <c r="O28" s="188"/>
      <c r="P28" s="184"/>
      <c r="Q28" s="185"/>
      <c r="R28" s="132"/>
      <c r="S28" s="204"/>
      <c r="T28" s="132"/>
      <c r="U28" s="204"/>
      <c r="V28" s="132"/>
      <c r="W28" s="241"/>
    </row>
    <row r="29" spans="1:23" s="86" customFormat="1" ht="17.25" customHeight="1" x14ac:dyDescent="0.45">
      <c r="A29" s="104" t="s">
        <v>55</v>
      </c>
      <c r="B29" s="104"/>
      <c r="C29" s="104"/>
      <c r="D29" s="104"/>
      <c r="E29" s="104"/>
      <c r="F29" s="104"/>
      <c r="G29" s="104"/>
      <c r="H29" s="104"/>
      <c r="I29" s="104"/>
      <c r="J29" s="104"/>
      <c r="K29" s="101"/>
      <c r="L29" s="84"/>
      <c r="M29" s="84"/>
      <c r="N29" s="187"/>
      <c r="O29" s="188"/>
      <c r="P29" s="184"/>
      <c r="Q29" s="185"/>
      <c r="R29" s="132"/>
      <c r="S29" s="204"/>
      <c r="T29" s="132"/>
      <c r="U29" s="204"/>
      <c r="V29" s="132"/>
      <c r="W29" s="241"/>
    </row>
    <row r="30" spans="1:23" s="86" customFormat="1" ht="16.5" customHeight="1" x14ac:dyDescent="0.45">
      <c r="A30" s="100" t="s">
        <v>56</v>
      </c>
      <c r="B30" s="100"/>
      <c r="C30" s="100"/>
      <c r="D30" s="100"/>
      <c r="E30" s="100"/>
      <c r="F30" s="100"/>
      <c r="G30" s="100"/>
      <c r="H30" s="100"/>
      <c r="I30" s="100"/>
      <c r="J30" s="100"/>
      <c r="K30" s="101"/>
      <c r="L30" s="84"/>
      <c r="M30" s="84"/>
      <c r="N30" s="189" t="s">
        <v>116</v>
      </c>
      <c r="O30" s="190" t="s">
        <v>190</v>
      </c>
      <c r="P30" s="191"/>
      <c r="Q30" s="192" t="s">
        <v>155</v>
      </c>
      <c r="R30" s="172" t="s">
        <v>116</v>
      </c>
      <c r="S30" s="179" t="s">
        <v>190</v>
      </c>
      <c r="T30" s="173"/>
      <c r="U30" s="132"/>
      <c r="V30" s="176" t="s">
        <v>155</v>
      </c>
      <c r="W30" s="241"/>
    </row>
    <row r="31" spans="1:23" s="86" customFormat="1" ht="16.5" customHeight="1" x14ac:dyDescent="0.45">
      <c r="A31" s="84"/>
      <c r="B31" s="96">
        <f ca="1">Q31</f>
        <v>0.17926562224999998</v>
      </c>
      <c r="C31" s="85" t="s">
        <v>57</v>
      </c>
      <c r="D31" s="85"/>
      <c r="E31" s="85"/>
      <c r="F31" s="85"/>
      <c r="G31" s="85"/>
      <c r="H31" s="85"/>
      <c r="I31" s="85"/>
      <c r="J31" s="85"/>
      <c r="K31" s="101"/>
      <c r="L31" s="84"/>
      <c r="M31" s="84"/>
      <c r="N31" s="187" t="s">
        <v>117</v>
      </c>
      <c r="O31" s="188" t="s">
        <v>192</v>
      </c>
      <c r="P31" s="184"/>
      <c r="Q31" s="194" cm="1">
        <f t="array" aca="1" ref="Q31" ca="1">IF(O31="Y",VLOOKUP(N31,INDIRECT(P$4),4,0)*INDIRECT(N$2),VLOOKUP(N31,INDIRECT(P$4),4,0))</f>
        <v>0.17926562224999998</v>
      </c>
      <c r="R31" s="133" t="str">
        <f t="shared" ref="R31:S34" si="12">N31</f>
        <v>10th Year</v>
      </c>
      <c r="S31" s="175" t="str">
        <f t="shared" si="12"/>
        <v>Y</v>
      </c>
      <c r="T31" s="133"/>
      <c r="U31" s="205"/>
      <c r="V31" s="135">
        <f t="shared" ref="V31:V34" ca="1" si="13">ROUND(Q31,3)</f>
        <v>0.17899999999999999</v>
      </c>
      <c r="W31" s="241"/>
    </row>
    <row r="32" spans="1:23" s="86" customFormat="1" ht="16.5" customHeight="1" x14ac:dyDescent="0.45">
      <c r="A32" s="84"/>
      <c r="B32" s="96">
        <f t="shared" ref="B32:B34" ca="1" si="14">Q32</f>
        <v>0.39963673749999989</v>
      </c>
      <c r="C32" s="100" t="s">
        <v>58</v>
      </c>
      <c r="D32" s="100"/>
      <c r="E32" s="100"/>
      <c r="F32" s="100"/>
      <c r="G32" s="100"/>
      <c r="H32" s="100"/>
      <c r="I32" s="100"/>
      <c r="J32" s="100"/>
      <c r="K32" s="101"/>
      <c r="L32" s="84"/>
      <c r="M32" s="84"/>
      <c r="N32" s="187" t="s">
        <v>118</v>
      </c>
      <c r="O32" s="188" t="s">
        <v>192</v>
      </c>
      <c r="P32" s="184"/>
      <c r="Q32" s="194" cm="1">
        <f t="array" aca="1" ref="Q32" ca="1">IF(O32="Y",VLOOKUP(N32,INDIRECT(P$4),4,0)*INDIRECT(N$2),VLOOKUP(N32,INDIRECT(P$4),4,0))</f>
        <v>0.39963673749999989</v>
      </c>
      <c r="R32" s="133" t="str">
        <f t="shared" si="12"/>
        <v>15th Year</v>
      </c>
      <c r="S32" s="175" t="str">
        <f t="shared" si="12"/>
        <v>Y</v>
      </c>
      <c r="T32" s="133"/>
      <c r="U32" s="205"/>
      <c r="V32" s="135">
        <f t="shared" ca="1" si="13"/>
        <v>0.4</v>
      </c>
      <c r="W32" s="241"/>
    </row>
    <row r="33" spans="1:571" s="86" customFormat="1" ht="16.5" customHeight="1" x14ac:dyDescent="0.45">
      <c r="A33" s="84"/>
      <c r="B33" s="96">
        <f t="shared" ca="1" si="14"/>
        <v>0.48641500049999986</v>
      </c>
      <c r="C33" s="100" t="s">
        <v>59</v>
      </c>
      <c r="D33" s="100"/>
      <c r="E33" s="100"/>
      <c r="F33" s="100"/>
      <c r="G33" s="100"/>
      <c r="H33" s="100"/>
      <c r="I33" s="100"/>
      <c r="J33" s="100"/>
      <c r="K33" s="101"/>
      <c r="L33" s="84"/>
      <c r="M33" s="84"/>
      <c r="N33" s="187" t="s">
        <v>119</v>
      </c>
      <c r="O33" s="188" t="s">
        <v>192</v>
      </c>
      <c r="P33" s="184"/>
      <c r="Q33" s="194" cm="1">
        <f t="array" aca="1" ref="Q33" ca="1">IF(O33="Y",VLOOKUP(N33,INDIRECT(P$4),4,0)*INDIRECT(N$2),VLOOKUP(N33,INDIRECT(P$4),4,0))</f>
        <v>0.48641500049999986</v>
      </c>
      <c r="R33" s="133" t="str">
        <f t="shared" si="12"/>
        <v>20th Year</v>
      </c>
      <c r="S33" s="175" t="str">
        <f t="shared" si="12"/>
        <v>Y</v>
      </c>
      <c r="T33" s="133"/>
      <c r="U33" s="205"/>
      <c r="V33" s="135">
        <f t="shared" ca="1" si="13"/>
        <v>0.48599999999999999</v>
      </c>
      <c r="W33" s="241"/>
    </row>
    <row r="34" spans="1:571" s="86" customFormat="1" ht="16.5" customHeight="1" x14ac:dyDescent="0.45">
      <c r="A34" s="84"/>
      <c r="B34" s="96">
        <f t="shared" ca="1" si="14"/>
        <v>0.84722988349999973</v>
      </c>
      <c r="C34" s="100" t="s">
        <v>60</v>
      </c>
      <c r="D34" s="100"/>
      <c r="E34" s="100"/>
      <c r="F34" s="100"/>
      <c r="G34" s="100"/>
      <c r="H34" s="100"/>
      <c r="I34" s="100"/>
      <c r="J34" s="100"/>
      <c r="K34" s="101"/>
      <c r="L34" s="84"/>
      <c r="M34" s="84"/>
      <c r="N34" s="187" t="s">
        <v>120</v>
      </c>
      <c r="O34" s="188" t="s">
        <v>192</v>
      </c>
      <c r="P34" s="184"/>
      <c r="Q34" s="194" cm="1">
        <f t="array" aca="1" ref="Q34" ca="1">IF(O34="Y",VLOOKUP(N34,INDIRECT(P$4),4,0)*INDIRECT(N$2),VLOOKUP(N34,INDIRECT(P$4),4,0))</f>
        <v>0.84722988349999973</v>
      </c>
      <c r="R34" s="133" t="str">
        <f t="shared" si="12"/>
        <v>25th Year</v>
      </c>
      <c r="S34" s="175" t="str">
        <f t="shared" si="12"/>
        <v>Y</v>
      </c>
      <c r="T34" s="133"/>
      <c r="U34" s="205"/>
      <c r="V34" s="135">
        <f t="shared" ca="1" si="13"/>
        <v>0.84699999999999998</v>
      </c>
      <c r="W34" s="241"/>
    </row>
    <row r="35" spans="1:571" s="86" customFormat="1" ht="10.5" customHeight="1" thickBot="1" x14ac:dyDescent="0.5">
      <c r="A35" s="168"/>
      <c r="B35" s="169"/>
      <c r="C35" s="170"/>
      <c r="D35" s="170"/>
      <c r="E35" s="168"/>
      <c r="F35" s="168"/>
      <c r="G35" s="168"/>
      <c r="H35" s="170"/>
      <c r="I35" s="168"/>
      <c r="J35" s="168"/>
      <c r="K35" s="101"/>
      <c r="L35" s="84"/>
      <c r="M35" s="84"/>
      <c r="N35" s="187"/>
      <c r="O35" s="188"/>
      <c r="P35" s="184"/>
      <c r="Q35" s="185"/>
      <c r="R35" s="132"/>
      <c r="S35" s="204"/>
      <c r="T35" s="132"/>
      <c r="U35" s="204"/>
      <c r="V35" s="132"/>
      <c r="W35" s="241"/>
    </row>
    <row r="36" spans="1:571" s="86" customFormat="1" ht="20.25" customHeight="1" x14ac:dyDescent="0.45">
      <c r="A36" s="99" t="str">
        <f>"Group 2: (CST) Temporary Employees ("&amp;TEXT(P3-100%,"##.0%")&amp;" increase)"</f>
        <v>Group 2: (CST) Temporary Employees (4.0% increase)</v>
      </c>
      <c r="B36" s="101"/>
      <c r="C36" s="107"/>
      <c r="D36" s="107"/>
      <c r="E36" s="101"/>
      <c r="F36" s="101"/>
      <c r="G36" s="101"/>
      <c r="H36" s="107"/>
      <c r="I36" s="101"/>
      <c r="J36" s="101"/>
      <c r="K36" s="101"/>
      <c r="L36" s="84"/>
      <c r="M36" s="84"/>
      <c r="N36" s="187"/>
      <c r="O36" s="188"/>
      <c r="P36" s="184"/>
      <c r="Q36" s="185"/>
      <c r="R36" s="132"/>
      <c r="S36" s="204"/>
      <c r="T36" s="132"/>
      <c r="U36" s="204"/>
      <c r="V36" s="132"/>
      <c r="W36" s="241"/>
    </row>
    <row r="37" spans="1:571" s="86" customFormat="1" ht="62.65" x14ac:dyDescent="0.45">
      <c r="A37" s="91" t="s">
        <v>2</v>
      </c>
      <c r="B37" s="91" t="s">
        <v>101</v>
      </c>
      <c r="C37" s="92" t="s">
        <v>102</v>
      </c>
      <c r="D37" s="91" t="s">
        <v>103</v>
      </c>
      <c r="E37" s="93" t="s">
        <v>12</v>
      </c>
      <c r="F37" s="93" t="s">
        <v>32</v>
      </c>
      <c r="G37" s="90" t="s">
        <v>104</v>
      </c>
      <c r="H37" s="91" t="s">
        <v>62</v>
      </c>
      <c r="I37" s="108" t="s">
        <v>63</v>
      </c>
      <c r="J37" s="94"/>
      <c r="K37" s="109"/>
      <c r="L37" s="101"/>
      <c r="M37" s="84"/>
      <c r="N37" s="189" t="s">
        <v>3</v>
      </c>
      <c r="O37" s="190" t="s">
        <v>190</v>
      </c>
      <c r="P37" s="191" t="s">
        <v>6</v>
      </c>
      <c r="Q37" s="192" t="s">
        <v>155</v>
      </c>
      <c r="R37" s="172" t="s">
        <v>3</v>
      </c>
      <c r="S37" s="179" t="s">
        <v>190</v>
      </c>
      <c r="T37" s="173" t="s">
        <v>6</v>
      </c>
      <c r="U37" s="132"/>
      <c r="V37" s="176" t="s">
        <v>155</v>
      </c>
      <c r="W37" s="241"/>
      <c r="X37" s="113"/>
      <c r="Y37" s="114"/>
    </row>
    <row r="38" spans="1:571" s="86" customFormat="1" x14ac:dyDescent="0.45">
      <c r="A38" s="83" t="s">
        <v>39</v>
      </c>
      <c r="B38" s="83" t="s">
        <v>65</v>
      </c>
      <c r="C38" s="243" t="s">
        <v>66</v>
      </c>
      <c r="D38" s="83">
        <v>248</v>
      </c>
      <c r="E38" s="83">
        <v>5</v>
      </c>
      <c r="F38" s="95" t="s">
        <v>22</v>
      </c>
      <c r="G38" s="83" t="s">
        <v>42</v>
      </c>
      <c r="H38" s="96" t="s">
        <v>67</v>
      </c>
      <c r="I38" s="96">
        <f ca="1">Q38</f>
        <v>29.339242545600001</v>
      </c>
      <c r="J38" s="84"/>
      <c r="K38" s="84"/>
      <c r="L38" s="84"/>
      <c r="M38" s="84"/>
      <c r="N38" s="184" t="str">
        <f>B38</f>
        <v>09300C</v>
      </c>
      <c r="O38" s="185" t="s">
        <v>192</v>
      </c>
      <c r="P38" s="198" t="s">
        <v>64</v>
      </c>
      <c r="Q38" s="194" cm="1">
        <f t="array" aca="1" ref="Q38" ca="1">IF(O38="Y",VLOOKUP(N38,INDIRECT(P$4),4,0)*INDIRECT(N$3),VLOOKUP(N38,INDIRECT(P$4),4,0))</f>
        <v>29.339242545600001</v>
      </c>
      <c r="R38" s="133" t="str">
        <f t="shared" ref="R38:S41" si="15">N38</f>
        <v>09300C</v>
      </c>
      <c r="S38" s="175" t="str">
        <f t="shared" si="15"/>
        <v>Y</v>
      </c>
      <c r="T38" s="133"/>
      <c r="U38" s="205"/>
      <c r="V38" s="135">
        <f t="shared" ref="V38:V41" ca="1" si="16">ROUND(Q38,3)</f>
        <v>29.338999999999999</v>
      </c>
      <c r="W38" s="241"/>
      <c r="X38" s="120"/>
      <c r="Y38" s="119"/>
    </row>
    <row r="39" spans="1:571" s="86" customFormat="1" ht="15" customHeight="1" x14ac:dyDescent="0.45">
      <c r="A39" s="83"/>
      <c r="B39" s="83" t="s">
        <v>62</v>
      </c>
      <c r="C39" s="244" t="s">
        <v>246</v>
      </c>
      <c r="D39" s="84"/>
      <c r="E39" s="84"/>
      <c r="F39" s="84"/>
      <c r="G39" s="83" t="s">
        <v>42</v>
      </c>
      <c r="H39" s="96">
        <f ca="1">Q72</f>
        <v>1.9963195200000008</v>
      </c>
      <c r="I39" s="96">
        <f ca="1">Q39</f>
        <v>31.335562065600005</v>
      </c>
      <c r="J39" s="84"/>
      <c r="K39" s="84"/>
      <c r="L39" s="84"/>
      <c r="M39" s="84"/>
      <c r="N39" s="199" t="s">
        <v>149</v>
      </c>
      <c r="O39" s="200" t="s">
        <v>192</v>
      </c>
      <c r="P39" s="198"/>
      <c r="Q39" s="194" cm="1">
        <f t="array" aca="1" ref="Q39" ca="1">IF(O39="Y",VLOOKUP(N39,INDIRECT(P$4),4,0)*INDIRECT(N$3),VLOOKUP(N39,INDIRECT(P$4),4,0))</f>
        <v>31.335562065600005</v>
      </c>
      <c r="R39" s="133" t="str">
        <f t="shared" si="15"/>
        <v>Step 2</v>
      </c>
      <c r="S39" s="175" t="str">
        <f t="shared" si="15"/>
        <v>Y</v>
      </c>
      <c r="T39" s="133"/>
      <c r="U39" s="205"/>
      <c r="V39" s="135">
        <f t="shared" ca="1" si="16"/>
        <v>31.335999999999999</v>
      </c>
      <c r="W39" s="241"/>
      <c r="X39" s="120"/>
      <c r="Y39" s="119"/>
    </row>
    <row r="40" spans="1:571" s="86" customFormat="1" x14ac:dyDescent="0.45">
      <c r="A40" s="83"/>
      <c r="B40" s="83" t="s">
        <v>62</v>
      </c>
      <c r="C40" s="244" t="s">
        <v>247</v>
      </c>
      <c r="D40" s="84"/>
      <c r="E40" s="84"/>
      <c r="F40" s="84"/>
      <c r="G40" s="83" t="s">
        <v>42</v>
      </c>
      <c r="H40" s="96">
        <f ca="1">Q70</f>
        <v>7.345346767199997</v>
      </c>
      <c r="I40" s="96">
        <f ca="1">Q40</f>
        <v>36.6845893128</v>
      </c>
      <c r="J40" s="84"/>
      <c r="K40" s="84"/>
      <c r="L40" s="84"/>
      <c r="M40" s="84"/>
      <c r="N40" s="199" t="s">
        <v>150</v>
      </c>
      <c r="O40" s="200" t="s">
        <v>192</v>
      </c>
      <c r="P40" s="198"/>
      <c r="Q40" s="194" cm="1">
        <f t="array" aca="1" ref="Q40" ca="1">IF(O40="Y",VLOOKUP(N40,INDIRECT(P$4),4,0)*INDIRECT(N$3),VLOOKUP(N40,INDIRECT(P$4),4,0))</f>
        <v>36.6845893128</v>
      </c>
      <c r="R40" s="133" t="str">
        <f t="shared" si="15"/>
        <v>Step 3</v>
      </c>
      <c r="S40" s="175" t="str">
        <f t="shared" si="15"/>
        <v>Y</v>
      </c>
      <c r="T40" s="133"/>
      <c r="U40" s="205"/>
      <c r="V40" s="135">
        <f t="shared" ca="1" si="16"/>
        <v>36.685000000000002</v>
      </c>
      <c r="W40" s="241"/>
      <c r="X40" s="125"/>
    </row>
    <row r="41" spans="1:571" s="86" customFormat="1" x14ac:dyDescent="0.45">
      <c r="A41" s="83"/>
      <c r="B41" s="83" t="s">
        <v>62</v>
      </c>
      <c r="C41" s="243" t="s">
        <v>70</v>
      </c>
      <c r="D41" s="84"/>
      <c r="E41" s="84"/>
      <c r="F41" s="84"/>
      <c r="G41" s="83" t="s">
        <v>42</v>
      </c>
      <c r="H41" s="96">
        <f ca="1">Q67</f>
        <v>18.2585601432</v>
      </c>
      <c r="I41" s="96">
        <f ca="1">Q41</f>
        <v>47.597802688800002</v>
      </c>
      <c r="J41" s="171"/>
      <c r="K41" s="84"/>
      <c r="L41" s="84"/>
      <c r="M41" s="84"/>
      <c r="N41" s="187" t="s">
        <v>151</v>
      </c>
      <c r="O41" s="185" t="s">
        <v>192</v>
      </c>
      <c r="P41" s="198"/>
      <c r="Q41" s="194" cm="1">
        <f t="array" aca="1" ref="Q41" ca="1">IF(O41="Y",VLOOKUP(N41,INDIRECT(P$4),4,0)*INDIRECT(N$3),VLOOKUP(N41,INDIRECT(P$4),4,0))</f>
        <v>47.597802688800002</v>
      </c>
      <c r="R41" s="133" t="str">
        <f t="shared" si="15"/>
        <v>Step 4</v>
      </c>
      <c r="S41" s="175" t="str">
        <f t="shared" si="15"/>
        <v>Y</v>
      </c>
      <c r="T41" s="133"/>
      <c r="U41" s="205"/>
      <c r="V41" s="135">
        <f t="shared" ca="1" si="16"/>
        <v>47.597999999999999</v>
      </c>
      <c r="W41" s="241"/>
      <c r="X41" s="125"/>
    </row>
    <row r="42" spans="1:571" s="86" customFormat="1" x14ac:dyDescent="0.45">
      <c r="A42" s="84"/>
      <c r="B42" s="83"/>
      <c r="C42" s="245" t="s">
        <v>249</v>
      </c>
      <c r="D42" s="84"/>
      <c r="E42" s="84"/>
      <c r="F42" s="84"/>
      <c r="G42" s="84"/>
      <c r="H42" s="84"/>
      <c r="I42" s="84"/>
      <c r="J42" s="84"/>
      <c r="K42" s="84"/>
      <c r="L42" s="84"/>
      <c r="M42" s="84"/>
      <c r="N42" s="187"/>
      <c r="O42" s="185"/>
      <c r="P42" s="184"/>
      <c r="Q42" s="185"/>
      <c r="R42" s="132"/>
      <c r="S42" s="204"/>
      <c r="T42" s="132"/>
      <c r="U42" s="204"/>
      <c r="V42" s="132"/>
      <c r="W42" s="241"/>
    </row>
    <row r="43" spans="1:571" s="86" customFormat="1" x14ac:dyDescent="0.45">
      <c r="A43" s="84"/>
      <c r="B43" s="83" t="s">
        <v>62</v>
      </c>
      <c r="C43" s="244" t="s">
        <v>248</v>
      </c>
      <c r="D43" s="84"/>
      <c r="E43" s="84"/>
      <c r="F43" s="84"/>
      <c r="G43" s="83" t="s">
        <v>73</v>
      </c>
      <c r="H43" s="96">
        <f ca="1">Q64</f>
        <v>8.6551541856000007</v>
      </c>
      <c r="I43" s="96">
        <f ca="1">Q43</f>
        <v>37.994396731200013</v>
      </c>
      <c r="J43" s="84"/>
      <c r="K43" s="84"/>
      <c r="L43" s="171"/>
      <c r="M43" s="84"/>
      <c r="N43" s="187" t="s">
        <v>152</v>
      </c>
      <c r="O43" s="185" t="s">
        <v>192</v>
      </c>
      <c r="P43" s="198"/>
      <c r="Q43" s="194" cm="1">
        <f t="array" aca="1" ref="Q43" ca="1">IF(O43="Y",VLOOKUP(N43,INDIRECT(P$4),4,0)*INDIRECT(N$3),VLOOKUP(N43,INDIRECT(P$4),4,0))</f>
        <v>37.994396731200013</v>
      </c>
      <c r="R43" s="133" t="str">
        <f t="shared" ref="R43:S43" si="17">N43</f>
        <v>Step 5</v>
      </c>
      <c r="S43" s="175" t="str">
        <f t="shared" si="17"/>
        <v>Y</v>
      </c>
      <c r="T43" s="133"/>
      <c r="U43" s="205"/>
      <c r="V43" s="135">
        <f t="shared" ref="V43" ca="1" si="18">ROUND(Q43,3)</f>
        <v>37.994</v>
      </c>
      <c r="W43" s="241"/>
      <c r="X43" s="125"/>
    </row>
    <row r="44" spans="1:571" s="86" customFormat="1" x14ac:dyDescent="0.45">
      <c r="A44" s="84"/>
      <c r="B44" s="84"/>
      <c r="C44" s="83"/>
      <c r="D44" s="85"/>
      <c r="E44" s="84"/>
      <c r="F44" s="84"/>
      <c r="G44" s="83"/>
      <c r="H44" s="96"/>
      <c r="I44" s="96"/>
      <c r="J44" s="84"/>
      <c r="K44" s="84"/>
      <c r="L44" s="84"/>
      <c r="M44" s="84"/>
      <c r="N44" s="187"/>
      <c r="O44" s="188"/>
      <c r="P44" s="198"/>
      <c r="Q44" s="194"/>
      <c r="R44" s="206"/>
      <c r="S44" s="204"/>
      <c r="T44" s="206"/>
      <c r="U44" s="204"/>
      <c r="V44" s="135"/>
      <c r="W44" s="235"/>
      <c r="X44" s="125"/>
    </row>
    <row r="45" spans="1:571" s="240" customFormat="1" x14ac:dyDescent="0.45">
      <c r="A45" s="99"/>
      <c r="B45" s="84"/>
      <c r="C45" s="83"/>
      <c r="D45" s="85"/>
      <c r="E45" s="84"/>
      <c r="F45" s="84"/>
      <c r="G45" s="83"/>
      <c r="H45" s="96"/>
      <c r="I45" s="96"/>
      <c r="J45" s="84"/>
      <c r="K45" s="84"/>
      <c r="L45" s="84"/>
      <c r="M45" s="84"/>
      <c r="N45" s="236"/>
      <c r="O45" s="237"/>
      <c r="P45" s="238"/>
      <c r="Q45" s="239"/>
      <c r="R45" s="236"/>
      <c r="S45" s="237"/>
      <c r="T45" s="238"/>
      <c r="U45" s="239"/>
      <c r="V45" s="135"/>
      <c r="W45" s="235"/>
      <c r="X45" s="125"/>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c r="CY45" s="86"/>
      <c r="CZ45" s="86"/>
      <c r="DA45" s="86"/>
      <c r="DB45" s="86"/>
      <c r="DC45" s="86"/>
      <c r="DD45" s="86"/>
      <c r="DE45" s="86"/>
      <c r="DF45" s="86"/>
      <c r="DG45" s="86"/>
      <c r="DH45" s="86"/>
      <c r="DI45" s="86"/>
      <c r="DJ45" s="86"/>
      <c r="DK45" s="86"/>
      <c r="DL45" s="86"/>
      <c r="DM45" s="86"/>
      <c r="DN45" s="86"/>
      <c r="DO45" s="86"/>
      <c r="DP45" s="86"/>
      <c r="DQ45" s="86"/>
      <c r="DR45" s="86"/>
      <c r="DS45" s="86"/>
      <c r="DT45" s="86"/>
      <c r="DU45" s="86"/>
      <c r="DV45" s="86"/>
      <c r="DW45" s="86"/>
      <c r="DX45" s="86"/>
      <c r="DY45" s="86"/>
      <c r="DZ45" s="86"/>
      <c r="EA45" s="86"/>
      <c r="EB45" s="86"/>
      <c r="EC45" s="86"/>
      <c r="ED45" s="86"/>
      <c r="EE45" s="86"/>
      <c r="EF45" s="86"/>
      <c r="EG45" s="86"/>
      <c r="EH45" s="86"/>
      <c r="EI45" s="86"/>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6"/>
      <c r="FU45" s="86"/>
      <c r="FV45" s="86"/>
      <c r="FW45" s="86"/>
      <c r="FX45" s="86"/>
      <c r="FY45" s="86"/>
      <c r="FZ45" s="86"/>
      <c r="GA45" s="86"/>
      <c r="GB45" s="86"/>
      <c r="GC45" s="86"/>
      <c r="GD45" s="86"/>
      <c r="GE45" s="86"/>
      <c r="GF45" s="86"/>
      <c r="GG45" s="86"/>
      <c r="GH45" s="86"/>
      <c r="GI45" s="86"/>
      <c r="GJ45" s="86"/>
      <c r="GK45" s="86"/>
      <c r="GL45" s="86"/>
      <c r="GM45" s="86"/>
      <c r="GN45" s="86"/>
      <c r="GO45" s="86"/>
      <c r="GP45" s="86"/>
      <c r="GQ45" s="86"/>
      <c r="GR45" s="86"/>
      <c r="GS45" s="86"/>
      <c r="GT45" s="86"/>
      <c r="GU45" s="86"/>
      <c r="GV45" s="86"/>
      <c r="GW45" s="86"/>
      <c r="GX45" s="86"/>
      <c r="GY45" s="86"/>
      <c r="GZ45" s="86"/>
      <c r="HA45" s="86"/>
      <c r="HB45" s="86"/>
      <c r="HC45" s="86"/>
      <c r="HD45" s="86"/>
      <c r="HE45" s="86"/>
      <c r="HF45" s="86"/>
      <c r="HG45" s="86"/>
      <c r="HH45" s="86"/>
      <c r="HI45" s="86"/>
      <c r="HJ45" s="86"/>
      <c r="HK45" s="86"/>
      <c r="HL45" s="86"/>
      <c r="HM45" s="86"/>
      <c r="HN45" s="86"/>
      <c r="HO45" s="86"/>
      <c r="HP45" s="86"/>
      <c r="HQ45" s="86"/>
      <c r="HR45" s="86"/>
      <c r="HS45" s="86"/>
      <c r="HT45" s="86"/>
      <c r="HU45" s="86"/>
      <c r="HV45" s="86"/>
      <c r="HW45" s="86"/>
      <c r="HX45" s="86"/>
      <c r="HY45" s="86"/>
      <c r="HZ45" s="86"/>
      <c r="IA45" s="86"/>
      <c r="IB45" s="86"/>
      <c r="IC45" s="86"/>
      <c r="ID45" s="86"/>
      <c r="IE45" s="86"/>
      <c r="IF45" s="86"/>
      <c r="IG45" s="86"/>
      <c r="IH45" s="86"/>
      <c r="II45" s="86"/>
      <c r="IJ45" s="86"/>
      <c r="IK45" s="86"/>
      <c r="IL45" s="86"/>
      <c r="IM45" s="86"/>
      <c r="IN45" s="86"/>
      <c r="IO45" s="86"/>
      <c r="IP45" s="86"/>
      <c r="IQ45" s="86"/>
      <c r="IR45" s="86"/>
      <c r="IS45" s="86"/>
      <c r="IT45" s="86"/>
      <c r="IU45" s="86"/>
      <c r="IV45" s="86"/>
      <c r="IW45" s="86"/>
      <c r="IX45" s="86"/>
      <c r="IY45" s="86"/>
      <c r="IZ45" s="86"/>
      <c r="JA45" s="86"/>
      <c r="JB45" s="86"/>
      <c r="JC45" s="86"/>
      <c r="JD45" s="86"/>
      <c r="JE45" s="86"/>
      <c r="JF45" s="86"/>
      <c r="JG45" s="86"/>
      <c r="JH45" s="86"/>
      <c r="JI45" s="86"/>
      <c r="JJ45" s="86"/>
      <c r="JK45" s="86"/>
      <c r="JL45" s="86"/>
      <c r="JM45" s="86"/>
      <c r="JN45" s="86"/>
      <c r="JO45" s="86"/>
      <c r="JP45" s="86"/>
      <c r="JQ45" s="86"/>
      <c r="JR45" s="86"/>
      <c r="JS45" s="86"/>
      <c r="JT45" s="86"/>
      <c r="JU45" s="86"/>
      <c r="JV45" s="86"/>
      <c r="JW45" s="86"/>
      <c r="JX45" s="86"/>
      <c r="JY45" s="86"/>
      <c r="JZ45" s="86"/>
      <c r="KA45" s="86"/>
      <c r="KB45" s="86"/>
      <c r="KC45" s="86"/>
      <c r="KD45" s="86"/>
      <c r="KE45" s="86"/>
      <c r="KF45" s="86"/>
      <c r="KG45" s="86"/>
      <c r="KH45" s="86"/>
      <c r="KI45" s="86"/>
      <c r="KJ45" s="86"/>
      <c r="KK45" s="86"/>
      <c r="KL45" s="86"/>
      <c r="KM45" s="86"/>
      <c r="KN45" s="86"/>
      <c r="KO45" s="86"/>
      <c r="KP45" s="86"/>
      <c r="KQ45" s="86"/>
      <c r="KR45" s="86"/>
      <c r="KS45" s="86"/>
      <c r="KT45" s="86"/>
      <c r="KU45" s="86"/>
      <c r="KV45" s="86"/>
      <c r="KW45" s="86"/>
      <c r="KX45" s="86"/>
      <c r="KY45" s="86"/>
      <c r="KZ45" s="86"/>
      <c r="LA45" s="86"/>
      <c r="LB45" s="86"/>
      <c r="LC45" s="86"/>
      <c r="LD45" s="86"/>
      <c r="LE45" s="86"/>
      <c r="LF45" s="86"/>
      <c r="LG45" s="86"/>
      <c r="LH45" s="86"/>
      <c r="LI45" s="86"/>
      <c r="LJ45" s="86"/>
      <c r="LK45" s="86"/>
      <c r="LL45" s="86"/>
      <c r="LM45" s="86"/>
      <c r="LN45" s="86"/>
      <c r="LO45" s="86"/>
      <c r="LP45" s="86"/>
      <c r="LQ45" s="86"/>
      <c r="LR45" s="86"/>
      <c r="LS45" s="86"/>
      <c r="LT45" s="86"/>
      <c r="LU45" s="86"/>
      <c r="LV45" s="86"/>
      <c r="LW45" s="86"/>
      <c r="LX45" s="86"/>
      <c r="LY45" s="86"/>
      <c r="LZ45" s="86"/>
      <c r="MA45" s="86"/>
      <c r="MB45" s="86"/>
      <c r="MC45" s="86"/>
      <c r="MD45" s="86"/>
      <c r="ME45" s="86"/>
      <c r="MF45" s="86"/>
      <c r="MG45" s="86"/>
      <c r="MH45" s="86"/>
      <c r="MI45" s="86"/>
      <c r="MJ45" s="86"/>
      <c r="MK45" s="86"/>
      <c r="ML45" s="86"/>
      <c r="MM45" s="86"/>
      <c r="MN45" s="86"/>
      <c r="MO45" s="86"/>
      <c r="MP45" s="86"/>
      <c r="MQ45" s="86"/>
      <c r="MR45" s="86"/>
      <c r="MS45" s="86"/>
      <c r="MT45" s="86"/>
      <c r="MU45" s="86"/>
      <c r="MV45" s="86"/>
      <c r="MW45" s="86"/>
      <c r="MX45" s="86"/>
      <c r="MY45" s="86"/>
      <c r="MZ45" s="86"/>
      <c r="NA45" s="86"/>
      <c r="NB45" s="86"/>
      <c r="NC45" s="86"/>
      <c r="ND45" s="86"/>
      <c r="NE45" s="86"/>
      <c r="NF45" s="86"/>
      <c r="NG45" s="86"/>
      <c r="NH45" s="86"/>
      <c r="NI45" s="86"/>
      <c r="NJ45" s="86"/>
      <c r="NK45" s="86"/>
      <c r="NL45" s="86"/>
      <c r="NM45" s="86"/>
      <c r="NN45" s="86"/>
      <c r="NO45" s="86"/>
      <c r="NP45" s="86"/>
      <c r="NQ45" s="86"/>
      <c r="NR45" s="86"/>
      <c r="NS45" s="86"/>
      <c r="NT45" s="86"/>
      <c r="NU45" s="86"/>
      <c r="NV45" s="86"/>
      <c r="NW45" s="86"/>
      <c r="NX45" s="86"/>
      <c r="NY45" s="86"/>
      <c r="NZ45" s="86"/>
      <c r="OA45" s="86"/>
      <c r="OB45" s="86"/>
      <c r="OC45" s="86"/>
      <c r="OD45" s="86"/>
      <c r="OE45" s="86"/>
      <c r="OF45" s="86"/>
      <c r="OG45" s="86"/>
      <c r="OH45" s="86"/>
      <c r="OI45" s="86"/>
      <c r="OJ45" s="86"/>
      <c r="OK45" s="86"/>
      <c r="OL45" s="86"/>
      <c r="OM45" s="86"/>
      <c r="ON45" s="86"/>
      <c r="OO45" s="86"/>
      <c r="OP45" s="86"/>
      <c r="OQ45" s="86"/>
      <c r="OR45" s="86"/>
      <c r="OS45" s="86"/>
      <c r="OT45" s="86"/>
      <c r="OU45" s="86"/>
      <c r="OV45" s="86"/>
      <c r="OW45" s="86"/>
      <c r="OX45" s="86"/>
      <c r="OY45" s="86"/>
      <c r="OZ45" s="86"/>
      <c r="PA45" s="86"/>
      <c r="PB45" s="86"/>
      <c r="PC45" s="86"/>
      <c r="PD45" s="86"/>
      <c r="PE45" s="86"/>
      <c r="PF45" s="86"/>
      <c r="PG45" s="86"/>
      <c r="PH45" s="86"/>
      <c r="PI45" s="86"/>
      <c r="PJ45" s="86"/>
      <c r="PK45" s="86"/>
      <c r="PL45" s="86"/>
      <c r="PM45" s="86"/>
      <c r="PN45" s="86"/>
      <c r="PO45" s="86"/>
      <c r="PP45" s="86"/>
      <c r="PQ45" s="86"/>
      <c r="PR45" s="86"/>
      <c r="PS45" s="86"/>
      <c r="PT45" s="86"/>
      <c r="PU45" s="86"/>
      <c r="PV45" s="86"/>
      <c r="PW45" s="86"/>
      <c r="PX45" s="86"/>
      <c r="PY45" s="86"/>
      <c r="PZ45" s="86"/>
      <c r="QA45" s="86"/>
      <c r="QB45" s="86"/>
      <c r="QC45" s="86"/>
      <c r="QD45" s="86"/>
      <c r="QE45" s="86"/>
      <c r="QF45" s="86"/>
      <c r="QG45" s="86"/>
      <c r="QH45" s="86"/>
      <c r="QI45" s="86"/>
      <c r="QJ45" s="86"/>
      <c r="QK45" s="86"/>
      <c r="QL45" s="86"/>
      <c r="QM45" s="86"/>
      <c r="QN45" s="86"/>
      <c r="QO45" s="86"/>
      <c r="QP45" s="86"/>
      <c r="QQ45" s="86"/>
      <c r="QR45" s="86"/>
      <c r="QS45" s="86"/>
      <c r="QT45" s="86"/>
      <c r="QU45" s="86"/>
      <c r="QV45" s="86"/>
      <c r="QW45" s="86"/>
      <c r="QX45" s="86"/>
      <c r="QY45" s="86"/>
      <c r="QZ45" s="86"/>
      <c r="RA45" s="86"/>
      <c r="RB45" s="86"/>
      <c r="RC45" s="86"/>
      <c r="RD45" s="86"/>
      <c r="RE45" s="86"/>
      <c r="RF45" s="86"/>
      <c r="RG45" s="86"/>
      <c r="RH45" s="86"/>
      <c r="RI45" s="86"/>
      <c r="RJ45" s="86"/>
      <c r="RK45" s="86"/>
      <c r="RL45" s="86"/>
      <c r="RM45" s="86"/>
      <c r="RN45" s="86"/>
      <c r="RO45" s="86"/>
      <c r="RP45" s="86"/>
      <c r="RQ45" s="86"/>
      <c r="RR45" s="86"/>
      <c r="RS45" s="86"/>
      <c r="RT45" s="86"/>
      <c r="RU45" s="86"/>
      <c r="RV45" s="86"/>
      <c r="RW45" s="86"/>
      <c r="RX45" s="86"/>
      <c r="RY45" s="86"/>
      <c r="RZ45" s="86"/>
      <c r="SA45" s="86"/>
      <c r="SB45" s="86"/>
      <c r="SC45" s="86"/>
      <c r="SD45" s="86"/>
      <c r="SE45" s="86"/>
      <c r="SF45" s="86"/>
      <c r="SG45" s="86"/>
      <c r="SH45" s="86"/>
      <c r="SI45" s="86"/>
      <c r="SJ45" s="86"/>
      <c r="SK45" s="86"/>
      <c r="SL45" s="86"/>
      <c r="SM45" s="86"/>
      <c r="SN45" s="86"/>
      <c r="SO45" s="86"/>
      <c r="SP45" s="86"/>
      <c r="SQ45" s="86"/>
      <c r="SR45" s="86"/>
      <c r="SS45" s="86"/>
      <c r="ST45" s="86"/>
      <c r="SU45" s="86"/>
      <c r="SV45" s="86"/>
      <c r="SW45" s="86"/>
      <c r="SX45" s="86"/>
      <c r="SY45" s="86"/>
      <c r="SZ45" s="86"/>
      <c r="TA45" s="86"/>
      <c r="TB45" s="86"/>
      <c r="TC45" s="86"/>
      <c r="TD45" s="86"/>
      <c r="TE45" s="86"/>
      <c r="TF45" s="86"/>
      <c r="TG45" s="86"/>
      <c r="TH45" s="86"/>
      <c r="TI45" s="86"/>
      <c r="TJ45" s="86"/>
      <c r="TK45" s="86"/>
      <c r="TL45" s="86"/>
      <c r="TM45" s="86"/>
      <c r="TN45" s="86"/>
      <c r="TO45" s="86"/>
      <c r="TP45" s="86"/>
      <c r="TQ45" s="86"/>
      <c r="TR45" s="86"/>
      <c r="TS45" s="86"/>
      <c r="TT45" s="86"/>
      <c r="TU45" s="86"/>
      <c r="TV45" s="86"/>
      <c r="TW45" s="86"/>
      <c r="TX45" s="86"/>
      <c r="TY45" s="86"/>
      <c r="TZ45" s="86"/>
      <c r="UA45" s="86"/>
      <c r="UB45" s="86"/>
      <c r="UC45" s="86"/>
      <c r="UD45" s="86"/>
      <c r="UE45" s="86"/>
      <c r="UF45" s="86"/>
      <c r="UG45" s="86"/>
      <c r="UH45" s="86"/>
      <c r="UI45" s="86"/>
      <c r="UJ45" s="86"/>
      <c r="UK45" s="86"/>
      <c r="UL45" s="86"/>
      <c r="UM45" s="86"/>
      <c r="UN45" s="86"/>
      <c r="UO45" s="86"/>
      <c r="UP45" s="86"/>
      <c r="UQ45" s="86"/>
      <c r="UR45" s="86"/>
      <c r="US45" s="86"/>
      <c r="UT45" s="86"/>
      <c r="UU45" s="86"/>
      <c r="UV45" s="86"/>
      <c r="UW45" s="86"/>
      <c r="UX45" s="86"/>
      <c r="UY45" s="86"/>
    </row>
    <row r="46" spans="1:571" s="86" customFormat="1" x14ac:dyDescent="0.45">
      <c r="A46" s="84"/>
      <c r="B46" s="84"/>
      <c r="C46" s="83"/>
      <c r="D46" s="85"/>
      <c r="E46" s="84"/>
      <c r="F46" s="84"/>
      <c r="G46" s="83"/>
      <c r="H46" s="96"/>
      <c r="I46" s="96"/>
      <c r="J46" s="84"/>
      <c r="K46" s="84"/>
      <c r="L46" s="84"/>
      <c r="M46" s="84"/>
      <c r="N46" s="187"/>
      <c r="O46" s="188"/>
      <c r="P46" s="198"/>
      <c r="Q46" s="194"/>
      <c r="R46" s="206"/>
      <c r="S46" s="204"/>
      <c r="T46" s="206"/>
      <c r="U46" s="204"/>
      <c r="V46" s="204"/>
      <c r="W46" s="235"/>
      <c r="X46" s="125"/>
    </row>
    <row r="47" spans="1:571" s="86" customFormat="1" ht="29.25" customHeight="1" x14ac:dyDescent="0.45">
      <c r="A47" s="242" t="s">
        <v>137</v>
      </c>
      <c r="B47" s="242"/>
      <c r="C47" s="242"/>
      <c r="D47" s="242"/>
      <c r="E47" s="242"/>
      <c r="F47" s="242"/>
      <c r="G47" s="242"/>
      <c r="H47" s="242"/>
      <c r="I47" s="242"/>
      <c r="J47" s="242"/>
      <c r="K47" s="84"/>
      <c r="L47" s="84"/>
      <c r="M47" s="84"/>
      <c r="N47" s="201"/>
      <c r="O47" s="201"/>
      <c r="P47" s="201"/>
      <c r="Q47" s="212"/>
      <c r="R47" s="132"/>
      <c r="S47" s="132"/>
      <c r="T47" s="132"/>
      <c r="U47" s="132"/>
      <c r="V47" s="132"/>
      <c r="W47" s="235"/>
      <c r="X47" s="125"/>
    </row>
    <row r="48" spans="1:571" s="86" customFormat="1" x14ac:dyDescent="0.45">
      <c r="A48" s="234"/>
      <c r="B48" s="234"/>
      <c r="C48" s="234"/>
      <c r="D48" s="234"/>
      <c r="E48" s="234"/>
      <c r="F48" s="234"/>
      <c r="G48" s="234"/>
      <c r="H48" s="234"/>
      <c r="I48" s="234"/>
      <c r="J48" s="234"/>
      <c r="K48" s="84"/>
      <c r="L48" s="84"/>
      <c r="M48" s="84"/>
      <c r="N48" s="201"/>
      <c r="O48" s="201"/>
      <c r="P48" s="201"/>
      <c r="Q48" s="212"/>
      <c r="R48" s="132"/>
      <c r="S48" s="132"/>
      <c r="T48" s="132"/>
      <c r="U48" s="132"/>
      <c r="V48" s="132"/>
      <c r="W48" s="235"/>
      <c r="X48" s="125"/>
    </row>
    <row r="49" spans="1:24" s="86" customFormat="1" x14ac:dyDescent="0.45">
      <c r="A49" s="99" t="s">
        <v>195</v>
      </c>
      <c r="B49" s="84"/>
      <c r="C49" s="83"/>
      <c r="E49" s="84"/>
      <c r="F49" s="84"/>
      <c r="G49" s="83" t="s">
        <v>42</v>
      </c>
      <c r="H49" s="216">
        <f ca="1">Q75</f>
        <v>20.433200143200001</v>
      </c>
      <c r="I49" s="171">
        <f ca="1">Q49</f>
        <v>49.772442688799998</v>
      </c>
      <c r="J49" s="84"/>
      <c r="K49" s="84"/>
      <c r="L49" s="84"/>
      <c r="M49" s="84"/>
      <c r="N49" s="187"/>
      <c r="O49" s="188"/>
      <c r="P49" s="184"/>
      <c r="Q49" s="194">
        <f ca="1">Q75+Q38</f>
        <v>49.772442688799998</v>
      </c>
      <c r="R49" s="133"/>
      <c r="S49" s="175"/>
      <c r="T49" s="133"/>
      <c r="U49" s="175"/>
      <c r="V49" s="135"/>
      <c r="W49" s="235"/>
    </row>
    <row r="50" spans="1:24" s="86" customFormat="1" x14ac:dyDescent="0.45">
      <c r="A50" s="84"/>
      <c r="B50" s="85" t="s">
        <v>200</v>
      </c>
      <c r="C50" s="83"/>
      <c r="E50" s="84"/>
      <c r="F50" s="84"/>
      <c r="G50" s="84"/>
      <c r="H50" s="83"/>
      <c r="I50" s="84"/>
      <c r="J50" s="84"/>
      <c r="K50" s="84"/>
      <c r="L50" s="84"/>
      <c r="M50" s="84"/>
      <c r="N50" s="187"/>
      <c r="O50" s="188"/>
      <c r="P50" s="184"/>
      <c r="Q50" s="185"/>
      <c r="R50" s="132"/>
      <c r="S50" s="204"/>
      <c r="T50" s="132"/>
      <c r="U50" s="204"/>
      <c r="V50" s="132"/>
      <c r="W50" s="235"/>
    </row>
    <row r="51" spans="1:24" s="86" customFormat="1" x14ac:dyDescent="0.45">
      <c r="A51" s="84"/>
      <c r="B51" s="85" t="s">
        <v>199</v>
      </c>
      <c r="C51" s="83"/>
      <c r="D51" s="85"/>
      <c r="E51" s="84"/>
      <c r="F51" s="84"/>
      <c r="G51" s="84"/>
      <c r="H51" s="83"/>
      <c r="I51" s="84"/>
      <c r="J51" s="84"/>
      <c r="K51" s="84"/>
      <c r="L51" s="84"/>
      <c r="M51" s="84"/>
      <c r="N51" s="187"/>
      <c r="O51" s="188"/>
      <c r="P51" s="184"/>
      <c r="Q51" s="185"/>
      <c r="R51" s="132"/>
      <c r="S51" s="204"/>
      <c r="T51" s="132"/>
      <c r="U51" s="204"/>
      <c r="V51" s="132"/>
      <c r="W51" s="235"/>
    </row>
    <row r="52" spans="1:24" s="86" customFormat="1" x14ac:dyDescent="0.45">
      <c r="A52" s="84"/>
      <c r="B52" s="85"/>
      <c r="C52" s="83"/>
      <c r="D52" s="85"/>
      <c r="E52" s="84"/>
      <c r="F52" s="84"/>
      <c r="G52" s="84"/>
      <c r="H52" s="83"/>
      <c r="I52" s="84"/>
      <c r="J52" s="84"/>
      <c r="K52" s="84"/>
      <c r="L52" s="84"/>
      <c r="M52" s="84"/>
      <c r="N52" s="187"/>
      <c r="O52" s="188"/>
      <c r="P52" s="184"/>
      <c r="Q52" s="185"/>
      <c r="R52" s="132"/>
      <c r="S52" s="204"/>
      <c r="T52" s="132"/>
      <c r="U52" s="204"/>
      <c r="V52" s="132"/>
      <c r="W52" s="235"/>
    </row>
    <row r="53" spans="1:24" s="86" customFormat="1" ht="14.25" customHeight="1" x14ac:dyDescent="0.45">
      <c r="A53" s="128"/>
      <c r="B53" s="105"/>
      <c r="C53" s="106"/>
      <c r="D53" s="128"/>
      <c r="E53" s="105"/>
      <c r="F53" s="105"/>
      <c r="G53" s="106"/>
      <c r="H53" s="129"/>
      <c r="I53" s="129"/>
      <c r="J53" s="105"/>
      <c r="K53" s="84"/>
      <c r="L53" s="84"/>
      <c r="M53" s="84"/>
      <c r="N53" s="201"/>
      <c r="O53" s="201"/>
      <c r="P53" s="201"/>
      <c r="Q53" s="212"/>
      <c r="R53" s="132"/>
      <c r="S53" s="132"/>
      <c r="T53" s="132"/>
      <c r="U53" s="132"/>
      <c r="V53" s="132"/>
      <c r="W53" s="235"/>
      <c r="X53" s="125"/>
    </row>
    <row r="54" spans="1:24" s="86" customFormat="1" x14ac:dyDescent="0.45">
      <c r="A54" s="99"/>
      <c r="C54" s="84"/>
      <c r="D54" s="84"/>
      <c r="E54" s="84"/>
      <c r="F54" s="84"/>
      <c r="G54" s="84"/>
      <c r="H54" s="84"/>
      <c r="I54" s="84"/>
      <c r="J54" s="84"/>
      <c r="K54" s="84"/>
      <c r="L54" s="84"/>
      <c r="M54" s="84"/>
      <c r="N54" s="201"/>
      <c r="O54" s="201"/>
      <c r="P54" s="201"/>
      <c r="Q54" s="212"/>
      <c r="R54" s="132"/>
      <c r="S54" s="132"/>
      <c r="T54" s="132"/>
      <c r="U54" s="132"/>
      <c r="V54" s="132"/>
      <c r="W54" s="235"/>
    </row>
    <row r="55" spans="1:24" s="86" customFormat="1" x14ac:dyDescent="0.45">
      <c r="A55" s="242" t="str">
        <f>"In addition to the above wage rates for Temporary Employees, the Employer shall make contributions to the IATSE Health and Welfare Plan"</f>
        <v>In addition to the above wage rates for Temporary Employees, the Employer shall make contributions to the IATSE Health and Welfare Plan</v>
      </c>
      <c r="B55" s="242"/>
      <c r="C55" s="242"/>
      <c r="D55" s="242"/>
      <c r="E55" s="242"/>
      <c r="F55" s="242"/>
      <c r="G55" s="242"/>
      <c r="H55" s="242"/>
      <c r="I55" s="242"/>
      <c r="J55" s="242"/>
      <c r="K55" s="84"/>
      <c r="L55" s="84"/>
      <c r="M55" s="84"/>
      <c r="N55" s="184" t="s">
        <v>201</v>
      </c>
      <c r="O55" s="201"/>
      <c r="P55" s="201"/>
      <c r="Q55" s="213">
        <v>0.125</v>
      </c>
      <c r="R55" s="133" t="str">
        <f>N55</f>
        <v>IATSE H&amp;W</v>
      </c>
      <c r="S55" s="133"/>
      <c r="T55" s="133"/>
      <c r="U55" s="133"/>
      <c r="V55" s="218">
        <f>Q55</f>
        <v>0.125</v>
      </c>
      <c r="W55" s="241"/>
    </row>
    <row r="56" spans="1:24" s="86" customFormat="1" x14ac:dyDescent="0.45">
      <c r="A56" s="84" t="str">
        <f>"sponsored by the Union for the benefit of its members. Such contributions shall be made at the rate of "&amp;TEXT(Q55,"###.0%")&amp;" of gross wages."</f>
        <v>sponsored by the Union for the benefit of its members. Such contributions shall be made at the rate of 12.5% of gross wages.</v>
      </c>
      <c r="C56" s="84"/>
      <c r="D56" s="84"/>
      <c r="E56" s="84"/>
      <c r="F56" s="84"/>
      <c r="G56" s="84"/>
      <c r="H56" s="84"/>
      <c r="I56" s="84"/>
      <c r="J56" s="84"/>
      <c r="K56" s="84"/>
      <c r="L56" s="84"/>
      <c r="M56" s="84"/>
      <c r="N56" s="201"/>
      <c r="O56" s="201"/>
      <c r="P56" s="201"/>
      <c r="Q56" s="212"/>
      <c r="R56" s="132"/>
      <c r="S56" s="132"/>
      <c r="T56" s="132"/>
      <c r="U56" s="132"/>
      <c r="V56" s="132"/>
      <c r="W56" s="241"/>
    </row>
    <row r="57" spans="1:24" s="86" customFormat="1" x14ac:dyDescent="0.45">
      <c r="A57" s="84"/>
      <c r="C57" s="84"/>
      <c r="D57" s="84"/>
      <c r="E57" s="84"/>
      <c r="F57" s="84"/>
      <c r="G57" s="84"/>
      <c r="H57" s="84"/>
      <c r="I57" s="84"/>
      <c r="J57" s="84"/>
      <c r="K57" s="84"/>
      <c r="L57" s="84"/>
      <c r="M57" s="84"/>
      <c r="N57" s="201"/>
      <c r="O57" s="201"/>
      <c r="P57" s="201"/>
      <c r="Q57" s="212"/>
      <c r="R57" s="132"/>
      <c r="S57" s="132"/>
      <c r="T57" s="132"/>
      <c r="U57" s="132"/>
      <c r="V57" s="132"/>
      <c r="W57" s="241"/>
    </row>
    <row r="58" spans="1:24" s="86" customFormat="1" x14ac:dyDescent="0.45">
      <c r="A58" s="99" t="s">
        <v>93</v>
      </c>
      <c r="C58" s="84"/>
      <c r="D58" s="84"/>
      <c r="E58" s="84"/>
      <c r="F58" s="84"/>
      <c r="G58" s="84"/>
      <c r="H58" s="84"/>
      <c r="I58" s="84"/>
      <c r="J58" s="84"/>
      <c r="K58" s="84"/>
      <c r="L58" s="84"/>
      <c r="M58" s="84"/>
      <c r="N58" s="201"/>
      <c r="O58" s="201"/>
      <c r="P58" s="201"/>
      <c r="Q58" s="212"/>
      <c r="R58" s="132"/>
      <c r="S58" s="132"/>
      <c r="T58" s="132"/>
      <c r="U58" s="132"/>
      <c r="V58" s="132"/>
      <c r="W58" s="241"/>
    </row>
    <row r="59" spans="1:24" s="86" customFormat="1" x14ac:dyDescent="0.45">
      <c r="A59" s="242" t="s">
        <v>202</v>
      </c>
      <c r="B59" s="242"/>
      <c r="C59" s="242"/>
      <c r="D59" s="242"/>
      <c r="E59" s="242"/>
      <c r="F59" s="242"/>
      <c r="G59" s="242"/>
      <c r="H59" s="242"/>
      <c r="I59" s="242"/>
      <c r="J59" s="242"/>
      <c r="K59" s="84"/>
      <c r="L59" s="84"/>
      <c r="M59" s="84"/>
      <c r="N59" s="201"/>
      <c r="O59" s="201"/>
      <c r="P59" s="201"/>
      <c r="Q59" s="212"/>
      <c r="R59" s="132"/>
      <c r="S59" s="132"/>
      <c r="T59" s="132"/>
      <c r="U59" s="132"/>
      <c r="V59" s="132"/>
      <c r="W59" s="241"/>
    </row>
    <row r="60" spans="1:24" s="86" customFormat="1" x14ac:dyDescent="0.45">
      <c r="A60" s="85" t="str">
        <f>"Trust, sponsored by the Union for the benefit of its members. Such contributions shall be made at the rate of "&amp;TEXT(Q60,"##.0%")&amp;" of gross wages."</f>
        <v>Trust, sponsored by the Union for the benefit of its members. Such contributions shall be made at the rate of 6.0% of gross wages.</v>
      </c>
      <c r="B60" s="234"/>
      <c r="C60" s="234"/>
      <c r="D60" s="234"/>
      <c r="E60" s="234"/>
      <c r="F60" s="234"/>
      <c r="G60" s="234"/>
      <c r="H60" s="234"/>
      <c r="I60" s="234"/>
      <c r="J60" s="234"/>
      <c r="K60" s="84"/>
      <c r="L60" s="84"/>
      <c r="M60" s="84"/>
      <c r="N60" s="184" t="s">
        <v>203</v>
      </c>
      <c r="O60" s="201"/>
      <c r="P60" s="201"/>
      <c r="Q60" s="213">
        <v>0.06</v>
      </c>
      <c r="R60" s="133" t="str">
        <f>N60</f>
        <v>IATSE Retirement</v>
      </c>
      <c r="S60" s="133"/>
      <c r="T60" s="133"/>
      <c r="U60" s="133"/>
      <c r="V60" s="218">
        <f>Q60</f>
        <v>0.06</v>
      </c>
      <c r="W60" s="241"/>
    </row>
    <row r="61" spans="1:24" s="86" customFormat="1" x14ac:dyDescent="0.45">
      <c r="A61" s="85"/>
      <c r="B61" s="234"/>
      <c r="C61" s="234"/>
      <c r="D61" s="234"/>
      <c r="E61" s="234"/>
      <c r="F61" s="234"/>
      <c r="G61" s="234"/>
      <c r="H61" s="234"/>
      <c r="I61" s="234"/>
      <c r="J61" s="234"/>
      <c r="K61" s="84"/>
      <c r="L61" s="84"/>
      <c r="M61" s="84"/>
      <c r="N61" s="184"/>
      <c r="O61" s="201"/>
      <c r="P61" s="201"/>
      <c r="Q61" s="214"/>
      <c r="R61" s="132"/>
      <c r="S61" s="132"/>
      <c r="T61" s="132"/>
      <c r="U61" s="132"/>
      <c r="V61" s="132"/>
      <c r="W61" s="241"/>
    </row>
    <row r="62" spans="1:24" s="86" customFormat="1" x14ac:dyDescent="0.45">
      <c r="A62" s="84"/>
      <c r="C62" s="84"/>
      <c r="D62" s="84"/>
      <c r="E62" s="84"/>
      <c r="F62" s="84"/>
      <c r="G62" s="84"/>
      <c r="H62" s="84"/>
      <c r="I62" s="84"/>
      <c r="J62" s="84"/>
      <c r="K62" s="84"/>
      <c r="L62" s="84"/>
      <c r="M62" s="84"/>
      <c r="N62" s="189" t="s">
        <v>156</v>
      </c>
      <c r="O62" s="190"/>
      <c r="P62" s="191" t="s">
        <v>157</v>
      </c>
      <c r="Q62" s="192" t="s">
        <v>155</v>
      </c>
      <c r="R62" s="172" t="s">
        <v>156</v>
      </c>
      <c r="S62" s="179" t="s">
        <v>190</v>
      </c>
      <c r="T62" s="173" t="s">
        <v>157</v>
      </c>
      <c r="U62" s="132"/>
      <c r="V62" s="176" t="s">
        <v>155</v>
      </c>
      <c r="W62" s="241"/>
    </row>
    <row r="63" spans="1:24" s="86" customFormat="1" x14ac:dyDescent="0.45">
      <c r="A63" s="84"/>
      <c r="C63" s="84"/>
      <c r="D63" s="84"/>
      <c r="E63" s="84"/>
      <c r="F63" s="84"/>
      <c r="G63" s="84"/>
      <c r="H63" s="84"/>
      <c r="I63" s="84"/>
      <c r="J63" s="84"/>
      <c r="K63" s="84"/>
      <c r="L63" s="84"/>
      <c r="M63" s="84"/>
      <c r="N63" s="202" t="s">
        <v>158</v>
      </c>
      <c r="O63" s="203" t="s">
        <v>192</v>
      </c>
      <c r="P63" s="202" t="s">
        <v>159</v>
      </c>
      <c r="Q63" s="194" cm="1">
        <f t="array" aca="1" ref="Q63" ca="1">IF(O63="Y",VLOOKUP(N63,INDIRECT(P$4),4,0)*INDIRECT(N$3),VLOOKUP(N63,INDIRECT(P$4),4,0))</f>
        <v>8.6551541856000007</v>
      </c>
      <c r="R63" s="207" t="str">
        <f t="shared" ref="R63:T77" si="19">N63</f>
        <v>LDD</v>
      </c>
      <c r="S63" s="208" t="str">
        <f t="shared" si="19"/>
        <v>Y</v>
      </c>
      <c r="T63" s="207" t="str">
        <f>P63</f>
        <v>Perfm 3 Stagehands/Dbl/</v>
      </c>
      <c r="U63" s="209"/>
      <c r="V63" s="210">
        <f t="shared" ref="V63:V77" ca="1" si="20">ROUND(Q63,3)</f>
        <v>8.6549999999999994</v>
      </c>
      <c r="W63" s="241"/>
    </row>
    <row r="64" spans="1:24" s="86" customFormat="1" x14ac:dyDescent="0.45">
      <c r="A64" s="84"/>
      <c r="C64" s="84"/>
      <c r="D64" s="84"/>
      <c r="E64" s="84"/>
      <c r="F64" s="84"/>
      <c r="G64" s="84"/>
      <c r="H64" s="84"/>
      <c r="I64" s="84"/>
      <c r="J64" s="84"/>
      <c r="K64" s="84"/>
      <c r="L64" s="84"/>
      <c r="M64" s="84"/>
      <c r="N64" s="202" t="s">
        <v>160</v>
      </c>
      <c r="O64" s="203" t="s">
        <v>192</v>
      </c>
      <c r="P64" s="202" t="s">
        <v>161</v>
      </c>
      <c r="Q64" s="194" cm="1">
        <f t="array" aca="1" ref="Q64" ca="1">IF(O64="Y",VLOOKUP(N64,INDIRECT(P$4),4,0)*INDIRECT(N$3),VLOOKUP(N64,INDIRECT(P$4),4,0))</f>
        <v>8.6551541856000007</v>
      </c>
      <c r="R64" s="207" t="str">
        <f t="shared" si="19"/>
        <v>LDR</v>
      </c>
      <c r="S64" s="208" t="str">
        <f t="shared" si="19"/>
        <v>Y</v>
      </c>
      <c r="T64" s="207" t="str">
        <f t="shared" si="19"/>
        <v>Perfm 3 Stagehands</v>
      </c>
      <c r="U64" s="209"/>
      <c r="V64" s="210">
        <f t="shared" ca="1" si="20"/>
        <v>8.6549999999999994</v>
      </c>
      <c r="W64" s="241"/>
    </row>
    <row r="65" spans="1:23" s="86" customFormat="1" x14ac:dyDescent="0.45">
      <c r="A65" s="84"/>
      <c r="B65" s="84"/>
      <c r="C65" s="84"/>
      <c r="D65" s="84"/>
      <c r="E65" s="84"/>
      <c r="F65" s="84"/>
      <c r="G65" s="84"/>
      <c r="H65" s="84"/>
      <c r="I65" s="84"/>
      <c r="J65" s="84"/>
      <c r="K65" s="84"/>
      <c r="L65" s="84"/>
      <c r="M65" s="84"/>
      <c r="N65" s="202" t="s">
        <v>162</v>
      </c>
      <c r="O65" s="203" t="s">
        <v>192</v>
      </c>
      <c r="P65" s="202" t="s">
        <v>163</v>
      </c>
      <c r="Q65" s="194" cm="1">
        <f t="array" aca="1" ref="Q65" ca="1">IF(O65="Y",VLOOKUP(N65,INDIRECT(P$4),4,0)*INDIRECT(N$3),VLOOKUP(N65,INDIRECT(P$4),4,0))</f>
        <v>8.6551541856000007</v>
      </c>
      <c r="R65" s="207" t="str">
        <f t="shared" si="19"/>
        <v>LDT</v>
      </c>
      <c r="S65" s="208" t="str">
        <f t="shared" si="19"/>
        <v>Y</v>
      </c>
      <c r="T65" s="207" t="str">
        <f t="shared" si="19"/>
        <v>Perfm 3 Stagehands/1.5/</v>
      </c>
      <c r="U65" s="209"/>
      <c r="V65" s="210">
        <f t="shared" ca="1" si="20"/>
        <v>8.6549999999999994</v>
      </c>
      <c r="W65" s="241"/>
    </row>
    <row r="66" spans="1:23" s="86" customFormat="1" x14ac:dyDescent="0.45">
      <c r="A66" s="89"/>
      <c r="B66" s="101"/>
      <c r="C66" s="107"/>
      <c r="D66" s="107"/>
      <c r="E66" s="84"/>
      <c r="F66" s="84"/>
      <c r="G66" s="84"/>
      <c r="H66" s="84"/>
      <c r="I66" s="84"/>
      <c r="J66" s="84"/>
      <c r="K66" s="84"/>
      <c r="L66" s="84"/>
      <c r="M66" s="84"/>
      <c r="N66" s="202" t="s">
        <v>164</v>
      </c>
      <c r="O66" s="203" t="s">
        <v>192</v>
      </c>
      <c r="P66" s="202" t="s">
        <v>165</v>
      </c>
      <c r="Q66" s="194" cm="1">
        <f t="array" aca="1" ref="Q66" ca="1">IF(O66="Y",VLOOKUP(N66,INDIRECT(P$4),4,0)*INDIRECT(N$3),VLOOKUP(N66,INDIRECT(P$4),4,0))</f>
        <v>18.2585601432</v>
      </c>
      <c r="R66" s="207" t="str">
        <f t="shared" si="19"/>
        <v>RTD</v>
      </c>
      <c r="S66" s="208" t="str">
        <f t="shared" si="19"/>
        <v>Y</v>
      </c>
      <c r="T66" s="207" t="str">
        <f t="shared" si="19"/>
        <v>L13 Tmp Rig Prm Dbl Hrs/</v>
      </c>
      <c r="U66" s="209"/>
      <c r="V66" s="210">
        <f t="shared" ca="1" si="20"/>
        <v>18.259</v>
      </c>
      <c r="W66" s="241"/>
    </row>
    <row r="67" spans="1:23" s="86" customFormat="1" x14ac:dyDescent="0.45">
      <c r="A67" s="99"/>
      <c r="B67" s="83"/>
      <c r="C67" s="83"/>
      <c r="D67" s="84"/>
      <c r="E67" s="84"/>
      <c r="F67" s="84"/>
      <c r="G67" s="84"/>
      <c r="H67" s="84"/>
      <c r="I67" s="84"/>
      <c r="J67" s="84"/>
      <c r="K67" s="84"/>
      <c r="L67" s="84"/>
      <c r="M67" s="84"/>
      <c r="N67" s="202" t="s">
        <v>166</v>
      </c>
      <c r="O67" s="203" t="s">
        <v>192</v>
      </c>
      <c r="P67" s="202" t="s">
        <v>167</v>
      </c>
      <c r="Q67" s="194" cm="1">
        <f t="array" aca="1" ref="Q67" ca="1">IF(O67="Y",VLOOKUP(N67,INDIRECT(P$4),4,0)*INDIRECT(N$3),VLOOKUP(N67,INDIRECT(P$4),4,0))</f>
        <v>18.2585601432</v>
      </c>
      <c r="R67" s="207" t="str">
        <f t="shared" si="19"/>
        <v>RTG</v>
      </c>
      <c r="S67" s="208" t="str">
        <f t="shared" si="19"/>
        <v>Y</v>
      </c>
      <c r="T67" s="207" t="str">
        <f t="shared" si="19"/>
        <v>L13 Tmp Rig Prm Reg Hrs/</v>
      </c>
      <c r="U67" s="209"/>
      <c r="V67" s="210">
        <f t="shared" ca="1" si="20"/>
        <v>18.259</v>
      </c>
      <c r="W67" s="241"/>
    </row>
    <row r="68" spans="1:23" s="86" customFormat="1" x14ac:dyDescent="0.45">
      <c r="A68" s="84"/>
      <c r="B68" s="84"/>
      <c r="C68" s="84"/>
      <c r="D68" s="84"/>
      <c r="E68" s="84"/>
      <c r="F68" s="84"/>
      <c r="G68" s="84"/>
      <c r="H68" s="84"/>
      <c r="I68" s="84"/>
      <c r="J68" s="84"/>
      <c r="K68" s="84"/>
      <c r="L68" s="84"/>
      <c r="M68" s="84"/>
      <c r="N68" s="202" t="s">
        <v>168</v>
      </c>
      <c r="O68" s="203" t="s">
        <v>192</v>
      </c>
      <c r="P68" s="202" t="s">
        <v>169</v>
      </c>
      <c r="Q68" s="194" cm="1">
        <f t="array" aca="1" ref="Q68" ca="1">IF(O68="Y",VLOOKUP(N68,INDIRECT(P$4),4,0)*INDIRECT(N$3),VLOOKUP(N68,INDIRECT(P$4),4,0))</f>
        <v>18.2585601432</v>
      </c>
      <c r="R68" s="207" t="str">
        <f t="shared" si="19"/>
        <v>RTT</v>
      </c>
      <c r="S68" s="208" t="str">
        <f t="shared" si="19"/>
        <v>Y</v>
      </c>
      <c r="T68" s="207" t="str">
        <f t="shared" si="19"/>
        <v>L13Tmp Rig Pm 1 1/2 Hrs/</v>
      </c>
      <c r="U68" s="209"/>
      <c r="V68" s="210">
        <f t="shared" ca="1" si="20"/>
        <v>18.259</v>
      </c>
      <c r="W68" s="241"/>
    </row>
    <row r="69" spans="1:23" s="86" customFormat="1" x14ac:dyDescent="0.45">
      <c r="A69" s="84"/>
      <c r="B69" s="84"/>
      <c r="C69" s="84"/>
      <c r="D69" s="84"/>
      <c r="E69" s="84"/>
      <c r="F69" s="84"/>
      <c r="G69" s="84"/>
      <c r="H69" s="84"/>
      <c r="I69" s="84"/>
      <c r="J69" s="84"/>
      <c r="K69" s="84"/>
      <c r="L69" s="84"/>
      <c r="M69" s="84"/>
      <c r="N69" s="202" t="s">
        <v>170</v>
      </c>
      <c r="O69" s="203" t="s">
        <v>192</v>
      </c>
      <c r="P69" s="202" t="s">
        <v>171</v>
      </c>
      <c r="Q69" s="194" cm="1">
        <f t="array" aca="1" ref="Q69" ca="1">IF(O69="Y",VLOOKUP(N69,INDIRECT(P$4),4,0)*INDIRECT(N$3),VLOOKUP(N69,INDIRECT(P$4),4,0))</f>
        <v>7.345346767199997</v>
      </c>
      <c r="R69" s="207" t="str">
        <f t="shared" si="19"/>
        <v>SPD</v>
      </c>
      <c r="S69" s="208" t="str">
        <f t="shared" si="19"/>
        <v>Y</v>
      </c>
      <c r="T69" s="207" t="str">
        <f t="shared" si="19"/>
        <v>Perfm 2 Stagehands/Dbl/</v>
      </c>
      <c r="U69" s="209"/>
      <c r="V69" s="210">
        <f t="shared" ca="1" si="20"/>
        <v>7.3449999999999998</v>
      </c>
      <c r="W69" s="241"/>
    </row>
    <row r="70" spans="1:23" s="86" customFormat="1" x14ac:dyDescent="0.45">
      <c r="A70" s="84"/>
      <c r="B70" s="84"/>
      <c r="C70" s="84"/>
      <c r="D70" s="84"/>
      <c r="E70" s="84"/>
      <c r="F70" s="84"/>
      <c r="G70" s="84"/>
      <c r="H70" s="84"/>
      <c r="I70" s="84"/>
      <c r="J70" s="84"/>
      <c r="K70" s="84"/>
      <c r="L70" s="84"/>
      <c r="M70" s="84"/>
      <c r="N70" s="202" t="s">
        <v>172</v>
      </c>
      <c r="O70" s="203" t="s">
        <v>192</v>
      </c>
      <c r="P70" s="202" t="s">
        <v>173</v>
      </c>
      <c r="Q70" s="194" cm="1">
        <f t="array" aca="1" ref="Q70" ca="1">IF(O70="Y",VLOOKUP(N70,INDIRECT(P$4),4,0)*INDIRECT(N$3),VLOOKUP(N70,INDIRECT(P$4),4,0))</f>
        <v>7.345346767199997</v>
      </c>
      <c r="R70" s="207" t="str">
        <f t="shared" si="19"/>
        <v>SPR</v>
      </c>
      <c r="S70" s="208" t="str">
        <f t="shared" si="19"/>
        <v>Y</v>
      </c>
      <c r="T70" s="207" t="str">
        <f t="shared" si="19"/>
        <v>Perfm 2 Stagehands/</v>
      </c>
      <c r="U70" s="209"/>
      <c r="V70" s="210">
        <f t="shared" ca="1" si="20"/>
        <v>7.3449999999999998</v>
      </c>
      <c r="W70" s="241"/>
    </row>
    <row r="71" spans="1:23" s="86" customFormat="1" x14ac:dyDescent="0.45">
      <c r="A71" s="84"/>
      <c r="B71" s="84"/>
      <c r="C71" s="84"/>
      <c r="D71" s="84"/>
      <c r="E71" s="84"/>
      <c r="F71" s="84"/>
      <c r="G71" s="84"/>
      <c r="H71" s="84"/>
      <c r="I71" s="84"/>
      <c r="J71" s="84"/>
      <c r="K71" s="84"/>
      <c r="L71" s="84"/>
      <c r="M71" s="84"/>
      <c r="N71" s="202" t="s">
        <v>174</v>
      </c>
      <c r="O71" s="203" t="s">
        <v>192</v>
      </c>
      <c r="P71" s="202" t="s">
        <v>175</v>
      </c>
      <c r="Q71" s="194" cm="1">
        <f t="array" aca="1" ref="Q71" ca="1">IF(O71="Y",VLOOKUP(N71,INDIRECT(P$4),4,0)*INDIRECT(N$3),VLOOKUP(N71,INDIRECT(P$4),4,0))</f>
        <v>7.345346767199997</v>
      </c>
      <c r="R71" s="207" t="str">
        <f t="shared" si="19"/>
        <v>SPT</v>
      </c>
      <c r="S71" s="208" t="str">
        <f t="shared" si="19"/>
        <v>Y</v>
      </c>
      <c r="T71" s="207" t="str">
        <f t="shared" si="19"/>
        <v>Perfm 2 Stagehands/1.5/</v>
      </c>
      <c r="U71" s="209"/>
      <c r="V71" s="210">
        <f t="shared" ca="1" si="20"/>
        <v>7.3449999999999998</v>
      </c>
      <c r="W71" s="241"/>
    </row>
    <row r="72" spans="1:23" s="86" customFormat="1" x14ac:dyDescent="0.45">
      <c r="A72" s="84"/>
      <c r="B72" s="84"/>
      <c r="C72" s="84"/>
      <c r="D72" s="84"/>
      <c r="E72" s="84"/>
      <c r="F72" s="84"/>
      <c r="G72" s="84"/>
      <c r="H72" s="84"/>
      <c r="I72" s="84"/>
      <c r="J72" s="84"/>
      <c r="K72" s="84"/>
      <c r="L72" s="84"/>
      <c r="M72" s="84"/>
      <c r="N72" s="202" t="s">
        <v>176</v>
      </c>
      <c r="O72" s="203" t="s">
        <v>192</v>
      </c>
      <c r="P72" s="202" t="s">
        <v>177</v>
      </c>
      <c r="Q72" s="194" cm="1">
        <f t="array" aca="1" ref="Q72" ca="1">IF(O72="Y",VLOOKUP(N72,INDIRECT(P$4),4,0)*INDIRECT(N$3),VLOOKUP(N72,INDIRECT(P$4),4,0))</f>
        <v>1.9963195200000008</v>
      </c>
      <c r="R72" s="207" t="str">
        <f t="shared" si="19"/>
        <v>STD</v>
      </c>
      <c r="S72" s="208" t="str">
        <f t="shared" si="19"/>
        <v>Y</v>
      </c>
      <c r="T72" s="207" t="str">
        <f t="shared" si="19"/>
        <v>Perfm 1 Stagehands/Dbl</v>
      </c>
      <c r="U72" s="209"/>
      <c r="V72" s="210">
        <f t="shared" ca="1" si="20"/>
        <v>1.996</v>
      </c>
      <c r="W72" s="241"/>
    </row>
    <row r="73" spans="1:23" s="86" customFormat="1" x14ac:dyDescent="0.45">
      <c r="A73" s="84"/>
      <c r="B73" s="84"/>
      <c r="C73" s="84"/>
      <c r="D73" s="84"/>
      <c r="E73" s="84"/>
      <c r="F73" s="84"/>
      <c r="G73" s="84"/>
      <c r="H73" s="84"/>
      <c r="I73" s="84"/>
      <c r="J73" s="84"/>
      <c r="K73" s="84"/>
      <c r="L73" s="84"/>
      <c r="M73" s="84"/>
      <c r="N73" s="202" t="s">
        <v>178</v>
      </c>
      <c r="O73" s="203" t="s">
        <v>192</v>
      </c>
      <c r="P73" s="202" t="s">
        <v>179</v>
      </c>
      <c r="Q73" s="194" cm="1">
        <f t="array" aca="1" ref="Q73" ca="1">IF(O73="Y",VLOOKUP(N73,INDIRECT(P$4),4,0)*INDIRECT(N$3),VLOOKUP(N73,INDIRECT(P$4),4,0))</f>
        <v>1.9963195200000008</v>
      </c>
      <c r="R73" s="207" t="str">
        <f t="shared" si="19"/>
        <v>STG</v>
      </c>
      <c r="S73" s="208" t="str">
        <f t="shared" si="19"/>
        <v>Y</v>
      </c>
      <c r="T73" s="207" t="str">
        <f t="shared" si="19"/>
        <v>Perfm 1 Stagehands</v>
      </c>
      <c r="U73" s="209"/>
      <c r="V73" s="210">
        <f t="shared" ca="1" si="20"/>
        <v>1.996</v>
      </c>
      <c r="W73" s="241"/>
    </row>
    <row r="74" spans="1:23" s="86" customFormat="1" x14ac:dyDescent="0.45">
      <c r="A74" s="84"/>
      <c r="B74" s="84"/>
      <c r="C74" s="84"/>
      <c r="D74" s="84"/>
      <c r="E74" s="84"/>
      <c r="F74" s="84"/>
      <c r="G74" s="84"/>
      <c r="H74" s="84"/>
      <c r="I74" s="84"/>
      <c r="J74" s="84"/>
      <c r="K74" s="84"/>
      <c r="L74" s="84"/>
      <c r="M74" s="84"/>
      <c r="N74" s="202" t="s">
        <v>180</v>
      </c>
      <c r="O74" s="203" t="s">
        <v>192</v>
      </c>
      <c r="P74" s="202" t="s">
        <v>181</v>
      </c>
      <c r="Q74" s="194" cm="1">
        <f t="array" aca="1" ref="Q74" ca="1">IF(O74="Y",VLOOKUP(N74,INDIRECT(P$4),4,0)*INDIRECT(N$3),VLOOKUP(N74,INDIRECT(P$4),4,0))</f>
        <v>1.9963195200000008</v>
      </c>
      <c r="R74" s="207" t="str">
        <f t="shared" si="19"/>
        <v>STT</v>
      </c>
      <c r="S74" s="208" t="str">
        <f t="shared" si="19"/>
        <v>Y</v>
      </c>
      <c r="T74" s="207" t="str">
        <f t="shared" si="19"/>
        <v>Perfm 1 Stagehands/1.5</v>
      </c>
      <c r="U74" s="209"/>
      <c r="V74" s="210">
        <f t="shared" ca="1" si="20"/>
        <v>1.996</v>
      </c>
      <c r="W74" s="241"/>
    </row>
    <row r="75" spans="1:23" s="86" customFormat="1" x14ac:dyDescent="0.45">
      <c r="A75" s="84"/>
      <c r="B75" s="84"/>
      <c r="C75" s="84"/>
      <c r="D75" s="84"/>
      <c r="E75" s="84"/>
      <c r="F75" s="84"/>
      <c r="G75" s="84"/>
      <c r="H75" s="84"/>
      <c r="I75" s="84"/>
      <c r="J75" s="84"/>
      <c r="K75" s="84"/>
      <c r="L75" s="84"/>
      <c r="M75" s="84"/>
      <c r="N75" s="187" t="s">
        <v>204</v>
      </c>
      <c r="O75" s="188" t="s">
        <v>192</v>
      </c>
      <c r="P75" s="184" t="s">
        <v>205</v>
      </c>
      <c r="Q75" s="194" cm="1">
        <f t="array" aca="1" ref="Q75" ca="1">IF(O75="Y",VLOOKUP(N75,INDIRECT(P$4),4,0)*INDIRECT(N$3),VLOOKUP(N75,INDIRECT(P$4),4,0))</f>
        <v>20.433200143200001</v>
      </c>
      <c r="R75" s="207" t="str">
        <f t="shared" si="19"/>
        <v>LRR</v>
      </c>
      <c r="S75" s="208" t="str">
        <f t="shared" si="19"/>
        <v>Y</v>
      </c>
      <c r="T75" s="207" t="str">
        <f t="shared" si="19"/>
        <v>ETCP Lead Rigger- temp</v>
      </c>
      <c r="U75" s="209"/>
      <c r="V75" s="210">
        <f t="shared" ca="1" si="20"/>
        <v>20.433</v>
      </c>
      <c r="W75" s="241"/>
    </row>
    <row r="76" spans="1:23" s="86" customFormat="1" x14ac:dyDescent="0.45">
      <c r="A76" s="84"/>
      <c r="B76" s="84"/>
      <c r="C76" s="84"/>
      <c r="D76" s="84"/>
      <c r="E76" s="84"/>
      <c r="F76" s="84"/>
      <c r="G76" s="84"/>
      <c r="H76" s="84"/>
      <c r="I76" s="84"/>
      <c r="J76" s="84"/>
      <c r="K76" s="84"/>
      <c r="L76" s="84"/>
      <c r="M76" s="84"/>
      <c r="N76" s="187" t="s">
        <v>206</v>
      </c>
      <c r="O76" s="188" t="s">
        <v>192</v>
      </c>
      <c r="P76" s="184" t="s">
        <v>207</v>
      </c>
      <c r="Q76" s="194" cm="1">
        <f t="array" aca="1" ref="Q76" ca="1">IF(O76="Y",VLOOKUP(N76,INDIRECT(P$4),4,0)*INDIRECT(N$3),VLOOKUP(N76,INDIRECT(P$4),4,0))</f>
        <v>20.433200143200001</v>
      </c>
      <c r="R76" s="207" t="str">
        <f t="shared" si="19"/>
        <v>LRT</v>
      </c>
      <c r="S76" s="208" t="str">
        <f t="shared" si="19"/>
        <v>Y</v>
      </c>
      <c r="T76" s="207" t="str">
        <f t="shared" si="19"/>
        <v>ETCP Lead Rigger- 1.5</v>
      </c>
      <c r="U76" s="209"/>
      <c r="V76" s="210">
        <f t="shared" ca="1" si="20"/>
        <v>20.433</v>
      </c>
      <c r="W76" s="241"/>
    </row>
    <row r="77" spans="1:23" s="86" customFormat="1" x14ac:dyDescent="0.45">
      <c r="A77" s="84"/>
      <c r="B77" s="84"/>
      <c r="C77" s="84"/>
      <c r="D77" s="84"/>
      <c r="E77" s="84"/>
      <c r="F77" s="84"/>
      <c r="G77" s="84"/>
      <c r="H77" s="84"/>
      <c r="I77" s="84"/>
      <c r="J77" s="84"/>
      <c r="K77" s="84"/>
      <c r="L77" s="84"/>
      <c r="M77" s="84"/>
      <c r="N77" s="187" t="s">
        <v>208</v>
      </c>
      <c r="O77" s="188" t="s">
        <v>192</v>
      </c>
      <c r="P77" s="184" t="s">
        <v>209</v>
      </c>
      <c r="Q77" s="194" cm="1">
        <f t="array" aca="1" ref="Q77" ca="1">IF(O77="Y",VLOOKUP(N77,INDIRECT(P$4),4,0)*INDIRECT(N$3),VLOOKUP(N77,INDIRECT(P$4),4,0))</f>
        <v>20.433200143200001</v>
      </c>
      <c r="R77" s="207" t="str">
        <f t="shared" si="19"/>
        <v>LRD</v>
      </c>
      <c r="S77" s="208" t="str">
        <f t="shared" si="19"/>
        <v>Y</v>
      </c>
      <c r="T77" s="207" t="str">
        <f t="shared" si="19"/>
        <v>ETCP Lead Rigger@2</v>
      </c>
      <c r="U77" s="209"/>
      <c r="V77" s="210">
        <f t="shared" ca="1" si="20"/>
        <v>20.433</v>
      </c>
      <c r="W77" s="241"/>
    </row>
  </sheetData>
  <sheetProtection sheet="1" objects="1" scenarios="1"/>
  <mergeCells count="3">
    <mergeCell ref="A47:J47"/>
    <mergeCell ref="A55:J55"/>
    <mergeCell ref="A59:J59"/>
  </mergeCells>
  <pageMargins left="0.28999999999999998" right="0" top="0.34" bottom="0.25" header="0.19" footer="0.26"/>
  <pageSetup orientation="landscape" r:id="rId1"/>
  <headerFooter alignWithMargins="0">
    <oddFooter>&amp;L&amp;8Last Updated:  &amp;D&amp;R&amp;8Page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FA73E-2AFC-4355-BA00-6DDB7A4ED603}">
  <dimension ref="A1:CS77"/>
  <sheetViews>
    <sheetView showGridLines="0" topLeftCell="A22" workbookViewId="0">
      <selection activeCell="C38" sqref="C38:D43"/>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bestFit="1" customWidth="1"/>
    <col min="13" max="13" width="5.59765625" style="84" customWidth="1"/>
    <col min="14" max="14" width="13.265625" style="187" hidden="1" customWidth="1"/>
    <col min="15" max="15" width="13.265625" style="188" hidden="1" customWidth="1"/>
    <col min="16" max="16" width="27.3984375" style="184" hidden="1" customWidth="1"/>
    <col min="17" max="17" width="15.86328125" style="185" hidden="1" customWidth="1"/>
    <col min="18" max="18" width="13.265625" style="132" hidden="1" customWidth="1"/>
    <col min="19" max="19" width="7.59765625" style="204" hidden="1" customWidth="1"/>
    <col min="20" max="20" width="22" style="132" hidden="1" customWidth="1"/>
    <col min="21" max="21" width="9.3984375" style="204" hidden="1" customWidth="1"/>
    <col min="22" max="22" width="7.59765625" style="132" hidden="1" customWidth="1"/>
    <col min="23" max="23" width="8.265625" style="86" customWidth="1"/>
    <col min="24" max="24" width="9.3984375" style="86" customWidth="1"/>
    <col min="25" max="26" width="5.59765625" style="86"/>
    <col min="27" max="16384" width="5.59765625" style="84"/>
  </cols>
  <sheetData>
    <row r="1" spans="1:26" s="224" customFormat="1" ht="15.75" x14ac:dyDescent="0.5">
      <c r="A1" s="232" t="s">
        <v>182</v>
      </c>
      <c r="N1" s="225"/>
      <c r="O1" s="226"/>
      <c r="P1" s="227"/>
      <c r="Q1" s="228"/>
      <c r="R1" s="229"/>
      <c r="S1" s="230"/>
      <c r="T1" s="229"/>
      <c r="U1" s="230"/>
      <c r="V1" s="229"/>
      <c r="W1" s="231"/>
      <c r="X1" s="231"/>
      <c r="Y1" s="231"/>
      <c r="Z1" s="231"/>
    </row>
    <row r="2" spans="1:26" s="86" customFormat="1" ht="15.75" x14ac:dyDescent="0.5">
      <c r="A2" s="82" t="s">
        <v>26</v>
      </c>
      <c r="B2" s="83"/>
      <c r="C2" s="83"/>
      <c r="D2" s="84"/>
      <c r="E2" s="84"/>
      <c r="F2" s="84"/>
      <c r="G2" s="85" t="s">
        <v>27</v>
      </c>
      <c r="H2" s="83"/>
      <c r="I2" s="84"/>
      <c r="J2" s="84"/>
      <c r="K2" s="84"/>
      <c r="M2" s="84"/>
      <c r="N2" s="184" t="s">
        <v>240</v>
      </c>
      <c r="O2" s="185"/>
      <c r="P2" s="186">
        <v>1.03</v>
      </c>
      <c r="Q2" s="185"/>
      <c r="R2" s="132"/>
      <c r="S2" s="204"/>
      <c r="T2" s="132"/>
      <c r="U2" s="204"/>
      <c r="V2" s="132"/>
    </row>
    <row r="3" spans="1:26" s="86" customFormat="1" x14ac:dyDescent="0.45">
      <c r="A3" s="88" t="s">
        <v>28</v>
      </c>
      <c r="B3" s="83"/>
      <c r="C3" s="83"/>
      <c r="D3" s="84"/>
      <c r="E3" s="84"/>
      <c r="F3" s="84"/>
      <c r="G3" s="84"/>
      <c r="H3" s="83"/>
      <c r="I3" s="84"/>
      <c r="J3" s="84"/>
      <c r="K3" s="84"/>
      <c r="L3" s="84"/>
      <c r="M3" s="84"/>
      <c r="N3" s="184" t="s">
        <v>241</v>
      </c>
      <c r="O3" s="201"/>
      <c r="P3" s="211">
        <v>1.03</v>
      </c>
      <c r="Q3" s="185"/>
      <c r="R3" s="132"/>
      <c r="S3" s="204"/>
      <c r="T3" s="132"/>
      <c r="U3" s="204"/>
      <c r="V3" s="132"/>
    </row>
    <row r="4" spans="1:26" s="86" customFormat="1" x14ac:dyDescent="0.45">
      <c r="A4" s="89" t="s">
        <v>245</v>
      </c>
      <c r="B4" s="83"/>
      <c r="C4" s="83"/>
      <c r="D4" s="84"/>
      <c r="E4" s="84"/>
      <c r="F4" s="84"/>
      <c r="G4" s="84"/>
      <c r="H4" s="83"/>
      <c r="I4" s="84"/>
      <c r="J4" s="84"/>
      <c r="K4" s="84"/>
      <c r="L4" s="84"/>
      <c r="M4" s="84"/>
      <c r="N4" s="187" t="s">
        <v>186</v>
      </c>
      <c r="O4" s="188"/>
      <c r="P4" s="184" t="s">
        <v>236</v>
      </c>
      <c r="Q4" s="185"/>
      <c r="R4" s="132"/>
      <c r="S4" s="204"/>
      <c r="T4" s="132"/>
      <c r="U4" s="204"/>
      <c r="V4" s="132"/>
    </row>
    <row r="5" spans="1:26" s="86" customFormat="1" x14ac:dyDescent="0.45">
      <c r="A5" s="222" t="s">
        <v>232</v>
      </c>
      <c r="B5" s="83"/>
      <c r="C5" s="83"/>
      <c r="D5" s="84"/>
      <c r="E5" s="84"/>
      <c r="F5" s="84"/>
      <c r="G5" s="84"/>
      <c r="H5" s="83"/>
      <c r="I5" s="84"/>
      <c r="J5" s="84"/>
      <c r="K5" s="84"/>
      <c r="L5" s="84"/>
      <c r="M5" s="84"/>
      <c r="N5" s="187"/>
      <c r="O5" s="188"/>
      <c r="P5" s="184"/>
      <c r="Q5" s="185"/>
      <c r="R5" s="132"/>
      <c r="S5" s="204"/>
      <c r="T5" s="132"/>
      <c r="U5" s="204"/>
      <c r="V5" s="132"/>
    </row>
    <row r="6" spans="1:26" s="86" customFormat="1" x14ac:dyDescent="0.45">
      <c r="A6" s="221"/>
      <c r="B6" s="83"/>
      <c r="C6" s="83"/>
      <c r="D6" s="84"/>
      <c r="E6" s="84"/>
      <c r="F6" s="84"/>
      <c r="G6" s="84"/>
      <c r="H6" s="83"/>
      <c r="I6" s="84"/>
      <c r="J6" s="84"/>
      <c r="K6" s="84"/>
      <c r="L6" s="84"/>
      <c r="M6" s="84"/>
      <c r="N6" s="187"/>
      <c r="O6" s="188"/>
      <c r="P6" s="184"/>
      <c r="Q6" s="185"/>
      <c r="R6" s="132"/>
      <c r="S6" s="204"/>
      <c r="T6" s="132"/>
      <c r="U6" s="204"/>
      <c r="V6" s="132"/>
    </row>
    <row r="7" spans="1:26" s="86" customFormat="1" x14ac:dyDescent="0.45">
      <c r="A7" s="88" t="s">
        <v>233</v>
      </c>
      <c r="B7" s="83"/>
      <c r="C7" s="83"/>
      <c r="D7" s="84"/>
      <c r="E7" s="84"/>
      <c r="F7" s="84"/>
      <c r="G7" s="84"/>
      <c r="H7" s="83"/>
      <c r="I7" s="84"/>
      <c r="J7" s="84"/>
      <c r="K7" s="84"/>
      <c r="L7" s="84"/>
      <c r="M7" s="84"/>
      <c r="N7" s="187"/>
      <c r="O7" s="188"/>
      <c r="P7" s="184"/>
      <c r="Q7" s="185"/>
      <c r="R7" s="132"/>
      <c r="S7" s="204"/>
      <c r="T7" s="132"/>
      <c r="U7" s="204"/>
      <c r="V7" s="132"/>
    </row>
    <row r="8" spans="1:26" s="86" customFormat="1" ht="62.65" x14ac:dyDescent="0.45">
      <c r="A8" s="90" t="s">
        <v>31</v>
      </c>
      <c r="B8" s="91" t="s">
        <v>101</v>
      </c>
      <c r="C8" s="92" t="s">
        <v>102</v>
      </c>
      <c r="D8" s="91" t="s">
        <v>103</v>
      </c>
      <c r="E8" s="93" t="s">
        <v>12</v>
      </c>
      <c r="F8" s="93" t="s">
        <v>32</v>
      </c>
      <c r="G8" s="90" t="s">
        <v>104</v>
      </c>
      <c r="H8" s="90" t="s">
        <v>105</v>
      </c>
      <c r="I8" s="94"/>
      <c r="J8" s="94"/>
      <c r="K8" s="84"/>
      <c r="L8" s="84"/>
      <c r="M8" s="84"/>
      <c r="N8" s="189" t="s">
        <v>3</v>
      </c>
      <c r="O8" s="190" t="s">
        <v>190</v>
      </c>
      <c r="P8" s="191" t="s">
        <v>6</v>
      </c>
      <c r="Q8" s="192" t="s">
        <v>155</v>
      </c>
      <c r="R8" s="172" t="s">
        <v>3</v>
      </c>
      <c r="S8" s="179" t="s">
        <v>190</v>
      </c>
      <c r="T8" s="172" t="s">
        <v>191</v>
      </c>
      <c r="U8" s="176" t="s">
        <v>6</v>
      </c>
      <c r="V8" s="176" t="s">
        <v>155</v>
      </c>
    </row>
    <row r="9" spans="1:26" s="86" customFormat="1" x14ac:dyDescent="0.45">
      <c r="A9" s="83" t="s">
        <v>39</v>
      </c>
      <c r="B9" s="83" t="s">
        <v>19</v>
      </c>
      <c r="C9" s="84" t="s">
        <v>41</v>
      </c>
      <c r="D9" s="83">
        <v>293</v>
      </c>
      <c r="E9" s="83">
        <v>6</v>
      </c>
      <c r="F9" s="95" t="s">
        <v>22</v>
      </c>
      <c r="G9" s="83" t="s">
        <v>42</v>
      </c>
      <c r="H9" s="96">
        <f ca="1">Q9</f>
        <v>39.484326610657483</v>
      </c>
      <c r="I9" s="84"/>
      <c r="J9" s="84"/>
      <c r="K9" s="84"/>
      <c r="L9" s="84"/>
      <c r="M9" s="84"/>
      <c r="N9" s="187" t="str">
        <f>B9</f>
        <v>08310C</v>
      </c>
      <c r="O9" s="188" t="s">
        <v>192</v>
      </c>
      <c r="P9" s="193" t="s">
        <v>40</v>
      </c>
      <c r="Q9" s="194" cm="1">
        <f t="array" aca="1" ref="Q9" ca="1">IF(O9="Y",VLOOKUP(N9,INDIRECT(P$4),4,0)*INDIRECT(N$2),VLOOKUP(N9,INDIRECT(P$4),4,0))</f>
        <v>39.484326610657483</v>
      </c>
      <c r="R9" s="133" t="str">
        <f>N9</f>
        <v>08310C</v>
      </c>
      <c r="S9" s="175" t="str">
        <f>O9</f>
        <v>Y</v>
      </c>
      <c r="T9" s="133" t="str">
        <f>C9</f>
        <v>Production Technician I</v>
      </c>
      <c r="U9" s="205" t="str">
        <f>P9</f>
        <v>CPT 01</v>
      </c>
      <c r="V9" s="135">
        <f ca="1">ROUND(Q9,3)</f>
        <v>39.484000000000002</v>
      </c>
      <c r="W9" s="235"/>
    </row>
    <row r="10" spans="1:26" s="86" customFormat="1" x14ac:dyDescent="0.45">
      <c r="A10" s="83" t="s">
        <v>39</v>
      </c>
      <c r="B10" s="83" t="s">
        <v>23</v>
      </c>
      <c r="C10" s="84" t="s">
        <v>44</v>
      </c>
      <c r="D10" s="83">
        <v>323</v>
      </c>
      <c r="E10" s="83">
        <v>7</v>
      </c>
      <c r="F10" s="95" t="s">
        <v>25</v>
      </c>
      <c r="G10" s="83" t="s">
        <v>42</v>
      </c>
      <c r="H10" s="96">
        <f ca="1">Q10</f>
        <v>43.961639671949996</v>
      </c>
      <c r="I10" s="84"/>
      <c r="J10" s="84"/>
      <c r="K10" s="84"/>
      <c r="L10" s="84"/>
      <c r="M10" s="84"/>
      <c r="N10" s="187" t="str">
        <f>B10</f>
        <v>08311C</v>
      </c>
      <c r="O10" s="188" t="s">
        <v>192</v>
      </c>
      <c r="P10" s="193" t="s">
        <v>148</v>
      </c>
      <c r="Q10" s="194" cm="1">
        <f t="array" aca="1" ref="Q10" ca="1">IF(O10="Y",VLOOKUP(N10,INDIRECT(P$4),4,0)*INDIRECT(N$2),VLOOKUP(N10,INDIRECT(P$4),4,0))</f>
        <v>43.961639671949996</v>
      </c>
      <c r="R10" s="133" t="str">
        <f t="shared" ref="R10:S10" si="0">N10</f>
        <v>08311C</v>
      </c>
      <c r="S10" s="175" t="str">
        <f t="shared" si="0"/>
        <v>Y</v>
      </c>
      <c r="T10" s="133" t="str">
        <f t="shared" ref="T10" si="1">C10</f>
        <v>Production Technician II</v>
      </c>
      <c r="U10" s="205" t="str">
        <f t="shared" ref="U10" si="2">P10</f>
        <v>CPT 02</v>
      </c>
      <c r="V10" s="135">
        <f t="shared" ref="V10" ca="1" si="3">ROUND(Q10,3)</f>
        <v>43.962000000000003</v>
      </c>
      <c r="W10" s="235"/>
    </row>
    <row r="11" spans="1:26" s="86" customFormat="1" ht="9" customHeight="1" x14ac:dyDescent="0.45">
      <c r="A11" s="84"/>
      <c r="B11" s="84"/>
      <c r="C11" s="84"/>
      <c r="D11" s="84"/>
      <c r="E11" s="84"/>
      <c r="F11" s="83"/>
      <c r="G11" s="83"/>
      <c r="H11" s="83"/>
      <c r="I11" s="96"/>
      <c r="J11" s="84"/>
      <c r="K11" s="84"/>
      <c r="L11" s="84"/>
      <c r="M11" s="84"/>
      <c r="N11" s="187"/>
      <c r="O11" s="188"/>
      <c r="P11" s="184"/>
      <c r="Q11" s="194"/>
      <c r="R11" s="133"/>
      <c r="S11" s="175"/>
      <c r="T11" s="133"/>
      <c r="U11" s="205"/>
      <c r="V11" s="135"/>
      <c r="W11" s="235"/>
    </row>
    <row r="12" spans="1:26" s="86" customFormat="1" ht="12" customHeight="1" x14ac:dyDescent="0.45">
      <c r="A12" s="88" t="s">
        <v>193</v>
      </c>
      <c r="B12" s="88"/>
      <c r="C12" s="88"/>
      <c r="E12" s="84"/>
      <c r="F12" s="83"/>
      <c r="G12" s="83" t="s">
        <v>42</v>
      </c>
      <c r="H12" s="96">
        <f ca="1">Q12</f>
        <v>15.332474489117496</v>
      </c>
      <c r="J12" s="84"/>
      <c r="K12" s="84"/>
      <c r="L12" s="84"/>
      <c r="M12" s="84"/>
      <c r="N12" s="195" t="s">
        <v>106</v>
      </c>
      <c r="O12" s="196" t="s">
        <v>192</v>
      </c>
      <c r="P12" s="197" t="s">
        <v>107</v>
      </c>
      <c r="Q12" s="194" cm="1">
        <f t="array" aca="1" ref="Q12" ca="1">IF(O12="Y",VLOOKUP(N12,INDIRECT(P$4),4,0)*INDIRECT(N$2),VLOOKUP(N12,INDIRECT(P$4),4,0))</f>
        <v>15.332474489117496</v>
      </c>
      <c r="R12" s="133" t="str">
        <f t="shared" ref="R12:S12" si="4">N12</f>
        <v>CPTPMR</v>
      </c>
      <c r="S12" s="175" t="str">
        <f t="shared" si="4"/>
        <v>Y</v>
      </c>
      <c r="T12" s="133" t="str">
        <f>P12</f>
        <v>TL-Premium Rigger-CPT</v>
      </c>
      <c r="U12" s="205"/>
      <c r="V12" s="135">
        <f t="shared" ref="V12" ca="1" si="5">ROUND(Q12,3)</f>
        <v>15.332000000000001</v>
      </c>
      <c r="W12" s="235"/>
    </row>
    <row r="13" spans="1:26" s="86" customFormat="1" ht="12" customHeight="1" x14ac:dyDescent="0.45">
      <c r="A13" s="83"/>
      <c r="B13" s="85" t="s">
        <v>194</v>
      </c>
      <c r="C13" s="83"/>
      <c r="E13" s="84"/>
      <c r="F13" s="84"/>
      <c r="G13" s="83"/>
      <c r="H13" s="97"/>
      <c r="I13" s="84"/>
      <c r="J13" s="84"/>
      <c r="K13" s="84"/>
      <c r="L13" s="84"/>
      <c r="M13" s="84"/>
      <c r="N13" s="187"/>
      <c r="O13" s="188"/>
      <c r="P13" s="184"/>
      <c r="Q13" s="185"/>
      <c r="R13" s="132"/>
      <c r="S13" s="204"/>
      <c r="T13" s="132"/>
      <c r="U13" s="204"/>
      <c r="V13" s="132"/>
      <c r="W13" s="235"/>
    </row>
    <row r="14" spans="1:26" s="86" customFormat="1" ht="12" customHeight="1" x14ac:dyDescent="0.45">
      <c r="A14" s="83"/>
      <c r="B14" s="85" t="s">
        <v>47</v>
      </c>
      <c r="C14" s="83"/>
      <c r="D14" s="85"/>
      <c r="E14" s="84"/>
      <c r="F14" s="84"/>
      <c r="G14" s="83"/>
      <c r="H14" s="97"/>
      <c r="I14" s="84"/>
      <c r="J14" s="84"/>
      <c r="K14" s="84"/>
      <c r="L14" s="84"/>
      <c r="M14" s="84"/>
      <c r="N14" s="187"/>
      <c r="O14" s="188"/>
      <c r="P14" s="184"/>
      <c r="Q14" s="185"/>
      <c r="R14" s="132"/>
      <c r="S14" s="204"/>
      <c r="T14" s="132"/>
      <c r="U14" s="204"/>
      <c r="V14" s="132"/>
      <c r="W14" s="235"/>
    </row>
    <row r="15" spans="1:26" s="86" customFormat="1" ht="12" customHeight="1" x14ac:dyDescent="0.45">
      <c r="A15" s="83"/>
      <c r="B15" s="85"/>
      <c r="C15" s="83"/>
      <c r="D15" s="85"/>
      <c r="E15" s="84"/>
      <c r="F15" s="84"/>
      <c r="G15" s="83"/>
      <c r="H15" s="97"/>
      <c r="I15" s="84"/>
      <c r="J15" s="84"/>
      <c r="K15" s="84"/>
      <c r="L15" s="84"/>
      <c r="M15" s="84"/>
      <c r="N15" s="187"/>
      <c r="O15" s="188"/>
      <c r="P15" s="184"/>
      <c r="Q15" s="185"/>
      <c r="R15" s="132"/>
      <c r="S15" s="204"/>
      <c r="T15" s="132"/>
      <c r="U15" s="204"/>
      <c r="V15" s="132"/>
      <c r="W15" s="235"/>
    </row>
    <row r="16" spans="1:26" s="86" customFormat="1" x14ac:dyDescent="0.45">
      <c r="A16" s="99" t="s">
        <v>195</v>
      </c>
      <c r="B16" s="84"/>
      <c r="C16" s="83"/>
      <c r="E16" s="84"/>
      <c r="F16" s="84"/>
      <c r="G16" s="83" t="s">
        <v>42</v>
      </c>
      <c r="H16" s="216">
        <f ca="1">Q16</f>
        <v>17.627252689117498</v>
      </c>
      <c r="I16" s="84"/>
      <c r="J16" s="84"/>
      <c r="K16" s="84"/>
      <c r="L16" s="84"/>
      <c r="M16" s="84"/>
      <c r="N16" s="187" t="s">
        <v>196</v>
      </c>
      <c r="O16" s="188" t="s">
        <v>192</v>
      </c>
      <c r="P16" s="184" t="s">
        <v>197</v>
      </c>
      <c r="Q16" s="194" cm="1">
        <f t="array" aca="1" ref="Q16" ca="1">IF(O16="Y",VLOOKUP(N16,INDIRECT(P$4),4,0)*INDIRECT(N$2),VLOOKUP(N16,INDIRECT(P$4),4,0))</f>
        <v>17.627252689117498</v>
      </c>
      <c r="R16" s="133" t="str">
        <f>N16</f>
        <v>CPTLRG</v>
      </c>
      <c r="S16" s="175" t="str">
        <f>O16</f>
        <v>Y</v>
      </c>
      <c r="T16" s="133" t="str">
        <f>P16</f>
        <v>TL-ETCP Premium Rigger-CPT</v>
      </c>
      <c r="U16" s="175"/>
      <c r="V16" s="135">
        <f ca="1">Q16</f>
        <v>17.627252689117498</v>
      </c>
      <c r="W16" s="235"/>
    </row>
    <row r="17" spans="1:23" s="86" customFormat="1" x14ac:dyDescent="0.45">
      <c r="A17" s="84"/>
      <c r="B17" s="85" t="s">
        <v>198</v>
      </c>
      <c r="C17" s="83"/>
      <c r="E17" s="84"/>
      <c r="F17" s="84"/>
      <c r="G17" s="84"/>
      <c r="H17" s="83"/>
      <c r="I17" s="84"/>
      <c r="J17" s="84"/>
      <c r="K17" s="84"/>
      <c r="L17" s="84"/>
      <c r="M17" s="84"/>
      <c r="N17" s="187"/>
      <c r="O17" s="188"/>
      <c r="P17" s="184"/>
      <c r="Q17" s="185"/>
      <c r="R17" s="132"/>
      <c r="S17" s="204"/>
      <c r="T17" s="132"/>
      <c r="U17" s="204"/>
      <c r="V17" s="132"/>
      <c r="W17" s="235"/>
    </row>
    <row r="18" spans="1:23" s="86" customFormat="1" x14ac:dyDescent="0.45">
      <c r="A18" s="84"/>
      <c r="B18" s="85" t="s">
        <v>199</v>
      </c>
      <c r="C18" s="83"/>
      <c r="D18" s="85"/>
      <c r="E18" s="84"/>
      <c r="F18" s="84"/>
      <c r="G18" s="84"/>
      <c r="H18" s="83"/>
      <c r="I18" s="84"/>
      <c r="J18" s="84"/>
      <c r="K18" s="84"/>
      <c r="L18" s="84"/>
      <c r="M18" s="84"/>
      <c r="N18" s="187"/>
      <c r="O18" s="188"/>
      <c r="P18" s="184"/>
      <c r="Q18" s="185"/>
      <c r="R18" s="132"/>
      <c r="S18" s="204"/>
      <c r="T18" s="132"/>
      <c r="U18" s="204"/>
      <c r="V18" s="132"/>
      <c r="W18" s="235"/>
    </row>
    <row r="19" spans="1:23" s="86" customFormat="1" x14ac:dyDescent="0.45">
      <c r="A19" s="84"/>
      <c r="B19" s="85"/>
      <c r="C19" s="83"/>
      <c r="D19" s="85"/>
      <c r="E19" s="84"/>
      <c r="F19" s="84"/>
      <c r="G19" s="84"/>
      <c r="H19" s="83"/>
      <c r="I19" s="84"/>
      <c r="J19" s="84"/>
      <c r="K19" s="84"/>
      <c r="L19" s="84"/>
      <c r="M19" s="84"/>
      <c r="N19" s="187"/>
      <c r="O19" s="188"/>
      <c r="P19" s="184"/>
      <c r="Q19" s="185"/>
      <c r="R19" s="132"/>
      <c r="S19" s="204"/>
      <c r="T19" s="132"/>
      <c r="U19" s="204"/>
      <c r="V19" s="132"/>
      <c r="W19" s="235"/>
    </row>
    <row r="20" spans="1:23" s="86" customFormat="1" ht="12" customHeight="1" x14ac:dyDescent="0.45">
      <c r="A20" s="99" t="s">
        <v>49</v>
      </c>
      <c r="B20" s="85"/>
      <c r="C20" s="83"/>
      <c r="D20" s="84"/>
      <c r="E20" s="84"/>
      <c r="F20" s="84"/>
      <c r="G20" s="84"/>
      <c r="H20" s="83"/>
      <c r="I20" s="84"/>
      <c r="J20" s="84"/>
      <c r="K20" s="84"/>
      <c r="L20" s="84"/>
      <c r="M20" s="84"/>
      <c r="N20" s="187"/>
      <c r="O20" s="188"/>
      <c r="P20" s="184"/>
      <c r="Q20" s="194"/>
      <c r="R20" s="132"/>
      <c r="S20" s="204"/>
      <c r="T20" s="132"/>
      <c r="U20" s="204"/>
      <c r="V20" s="132"/>
      <c r="W20" s="235"/>
    </row>
    <row r="21" spans="1:23" s="86" customFormat="1" ht="12" customHeight="1" x14ac:dyDescent="0.45">
      <c r="A21" s="100" t="str">
        <f ca="1">"A "&amp;TEXT(Q21,"$#.000")&amp;" per hour shift differential be paid for shifts that start between the hours of 5:00 p.m. and 4:00 a.m."</f>
        <v>A $2.443 per hour shift differential be paid for shifts that start between the hours of 5:00 p.m. and 4:00 a.m.</v>
      </c>
      <c r="B21" s="100"/>
      <c r="C21" s="100"/>
      <c r="D21" s="100"/>
      <c r="E21" s="100"/>
      <c r="F21" s="100"/>
      <c r="G21" s="100"/>
      <c r="H21" s="100"/>
      <c r="I21" s="100"/>
      <c r="J21" s="100"/>
      <c r="K21" s="101"/>
      <c r="L21" s="102"/>
      <c r="M21" s="84"/>
      <c r="N21" s="195" t="s">
        <v>108</v>
      </c>
      <c r="O21" s="196" t="s">
        <v>192</v>
      </c>
      <c r="P21" s="197" t="s">
        <v>109</v>
      </c>
      <c r="Q21" s="194" cm="1">
        <f t="array" aca="1" ref="Q21" ca="1">IF(O21="Y",VLOOKUP(N21,INDIRECT(P$4),4,0)*INDIRECT(N$2),VLOOKUP(N21,INDIRECT(P$4),4,0))</f>
        <v>2.4427053397174996</v>
      </c>
      <c r="R21" s="133" t="str">
        <f t="shared" ref="R21:S21" si="6">N21</f>
        <v>CPTEVE</v>
      </c>
      <c r="S21" s="175" t="str">
        <f t="shared" si="6"/>
        <v>Y</v>
      </c>
      <c r="T21" s="133" t="str">
        <f>P21</f>
        <v>TL-Evening Shift Premium-CPT</v>
      </c>
      <c r="U21" s="205"/>
      <c r="V21" s="135">
        <f t="shared" ref="V21" ca="1" si="7">ROUND(Q21,3)</f>
        <v>2.4430000000000001</v>
      </c>
      <c r="W21" s="235"/>
    </row>
    <row r="22" spans="1:23" s="86" customFormat="1" ht="12" customHeight="1" x14ac:dyDescent="0.45">
      <c r="A22" s="84"/>
      <c r="B22" s="85"/>
      <c r="C22" s="96"/>
      <c r="D22" s="84"/>
      <c r="E22" s="84"/>
      <c r="F22" s="84"/>
      <c r="G22" s="84"/>
      <c r="H22" s="83"/>
      <c r="I22" s="84"/>
      <c r="J22" s="84"/>
      <c r="K22" s="101"/>
      <c r="L22" s="102"/>
      <c r="M22" s="84"/>
      <c r="N22" s="187"/>
      <c r="O22" s="188"/>
      <c r="P22" s="184"/>
      <c r="Q22" s="185"/>
      <c r="R22" s="132"/>
      <c r="S22" s="204"/>
      <c r="T22" s="132"/>
      <c r="U22" s="204"/>
      <c r="V22" s="132"/>
      <c r="W22" s="235"/>
    </row>
    <row r="23" spans="1:23" s="86" customFormat="1" x14ac:dyDescent="0.45">
      <c r="A23" s="100" t="str">
        <f ca="1">"A "&amp;TEXT(Q23,"$#.000")&amp;" per hour shift differential be paid for shifts that start between the hours of 5:00 a.m. and 6:00 a.m., "</f>
        <v xml:space="preserve">A $1.261 per hour shift differential be paid for shifts that start between the hours of 5:00 a.m. and 6:00 a.m., </v>
      </c>
      <c r="B23" s="100"/>
      <c r="C23" s="100"/>
      <c r="D23" s="100"/>
      <c r="E23" s="100"/>
      <c r="F23" s="100"/>
      <c r="G23" s="100"/>
      <c r="H23" s="100"/>
      <c r="I23" s="100"/>
      <c r="J23" s="100"/>
      <c r="K23" s="101"/>
      <c r="L23" s="102"/>
      <c r="M23" s="84"/>
      <c r="N23" s="195" t="s">
        <v>110</v>
      </c>
      <c r="O23" s="196" t="s">
        <v>192</v>
      </c>
      <c r="P23" s="197" t="s">
        <v>111</v>
      </c>
      <c r="Q23" s="194" cm="1">
        <f t="array" aca="1" ref="Q23" ca="1">IF(O23="Y",VLOOKUP(N23,INDIRECT(P$4),4,0)*INDIRECT(N$2),VLOOKUP(N23,INDIRECT(P$4),4,0))</f>
        <v>1.2607511430799998</v>
      </c>
      <c r="R23" s="133" t="str">
        <f t="shared" ref="R23:T24" si="8">N23</f>
        <v>CPTAM1</v>
      </c>
      <c r="S23" s="175" t="str">
        <f t="shared" si="8"/>
        <v>Y</v>
      </c>
      <c r="T23" s="133" t="str">
        <f t="shared" si="8"/>
        <v>TL-Morning Shift Premium CPT</v>
      </c>
      <c r="U23" s="205"/>
      <c r="V23" s="135">
        <f t="shared" ref="V23:V24" ca="1" si="9">ROUND(Q23,3)</f>
        <v>1.2609999999999999</v>
      </c>
      <c r="W23" s="235"/>
    </row>
    <row r="24" spans="1:23" s="103" customFormat="1" ht="15" customHeight="1" x14ac:dyDescent="0.45">
      <c r="A24" s="103" t="s">
        <v>112</v>
      </c>
      <c r="N24" s="195" t="s">
        <v>113</v>
      </c>
      <c r="O24" s="196" t="s">
        <v>192</v>
      </c>
      <c r="P24" s="197" t="s">
        <v>107</v>
      </c>
      <c r="Q24" s="194" cm="1">
        <f t="array" aca="1" ref="Q24" ca="1">IF(O24="Y",VLOOKUP(N24,INDIRECT(P$4),4,0)*INDIRECT(N$2),VLOOKUP(N24,INDIRECT(P$4),4,0))</f>
        <v>1.2607511430799998</v>
      </c>
      <c r="R24" s="133" t="str">
        <f t="shared" si="8"/>
        <v>CPTNIT</v>
      </c>
      <c r="S24" s="175" t="str">
        <f t="shared" si="8"/>
        <v>Y</v>
      </c>
      <c r="T24" s="133" t="str">
        <f t="shared" si="8"/>
        <v>TL-Premium Rigger-CPT</v>
      </c>
      <c r="U24" s="205"/>
      <c r="V24" s="135">
        <f t="shared" ca="1" si="9"/>
        <v>1.2609999999999999</v>
      </c>
      <c r="W24" s="235"/>
    </row>
    <row r="25" spans="1:23" s="103" customFormat="1" ht="15" customHeight="1" x14ac:dyDescent="0.45">
      <c r="N25" s="184"/>
      <c r="O25" s="185"/>
      <c r="P25" s="184"/>
      <c r="Q25" s="185"/>
      <c r="R25" s="133"/>
      <c r="S25" s="175"/>
      <c r="T25" s="133"/>
      <c r="U25" s="175"/>
      <c r="V25" s="133"/>
      <c r="W25" s="235"/>
    </row>
    <row r="26" spans="1:23" s="86" customFormat="1" ht="12" customHeight="1" x14ac:dyDescent="0.45">
      <c r="A26" s="99" t="s">
        <v>85</v>
      </c>
      <c r="B26" s="84"/>
      <c r="C26" s="96"/>
      <c r="D26" s="84"/>
      <c r="E26" s="84"/>
      <c r="F26" s="84"/>
      <c r="G26" s="84"/>
      <c r="H26" s="83"/>
      <c r="I26" s="84"/>
      <c r="J26" s="84"/>
      <c r="K26" s="101"/>
      <c r="L26" s="84"/>
      <c r="M26" s="84"/>
      <c r="N26" s="187"/>
      <c r="O26" s="188"/>
      <c r="P26" s="184"/>
      <c r="Q26" s="185"/>
      <c r="R26" s="132"/>
      <c r="S26" s="204"/>
      <c r="T26" s="132"/>
      <c r="U26" s="204"/>
      <c r="V26" s="132"/>
      <c r="W26" s="235"/>
    </row>
    <row r="27" spans="1:23" s="86" customFormat="1" ht="18.75" customHeight="1" x14ac:dyDescent="0.45">
      <c r="A27" s="100" t="str">
        <f ca="1">"A "&amp;TEXT(Q27,"$#.000")&amp;" per hour premium be paid for each hour worked as an employer-designated Lead Worker."</f>
        <v>A $2.060 per hour premium be paid for each hour worked as an employer-designated Lead Worker.</v>
      </c>
      <c r="B27" s="100"/>
      <c r="C27" s="100"/>
      <c r="D27" s="100"/>
      <c r="E27" s="100"/>
      <c r="F27" s="100"/>
      <c r="G27" s="100"/>
      <c r="H27" s="100"/>
      <c r="I27" s="100"/>
      <c r="J27" s="100"/>
      <c r="K27" s="101"/>
      <c r="L27" s="102"/>
      <c r="M27" s="84"/>
      <c r="N27" s="195" t="s">
        <v>114</v>
      </c>
      <c r="O27" s="196" t="s">
        <v>192</v>
      </c>
      <c r="P27" s="197" t="s">
        <v>115</v>
      </c>
      <c r="Q27" s="194" cm="1">
        <f t="array" aca="1" ref="Q27" ca="1">IF(O27="Y",VLOOKUP(N27,INDIRECT(P$4),4,0)*INDIRECT(N$2),VLOOKUP(N27,INDIRECT(P$4),4,0))</f>
        <v>2.06</v>
      </c>
      <c r="R27" s="133" t="str">
        <f t="shared" ref="R27:S27" si="10">N27</f>
        <v>CPTLDS</v>
      </c>
      <c r="S27" s="175" t="str">
        <f t="shared" si="10"/>
        <v>Y</v>
      </c>
      <c r="T27" s="133" t="str">
        <f>P27</f>
        <v>TL-Lead Prem (Substitute)-CPT</v>
      </c>
      <c r="U27" s="205"/>
      <c r="V27" s="135">
        <f t="shared" ref="V27" ca="1" si="11">ROUND(Q27,3)</f>
        <v>2.06</v>
      </c>
      <c r="W27" s="235"/>
    </row>
    <row r="28" spans="1:23" s="86" customFormat="1" ht="12" customHeight="1" x14ac:dyDescent="0.45">
      <c r="A28" s="85"/>
      <c r="B28" s="85"/>
      <c r="C28" s="96"/>
      <c r="D28" s="84"/>
      <c r="E28" s="84"/>
      <c r="F28" s="84"/>
      <c r="G28" s="84"/>
      <c r="H28" s="83"/>
      <c r="I28" s="84"/>
      <c r="J28" s="84"/>
      <c r="K28" s="101"/>
      <c r="L28" s="84"/>
      <c r="M28" s="84"/>
      <c r="N28" s="187"/>
      <c r="O28" s="188"/>
      <c r="P28" s="184"/>
      <c r="Q28" s="185"/>
      <c r="R28" s="132"/>
      <c r="S28" s="204"/>
      <c r="T28" s="132"/>
      <c r="U28" s="204"/>
      <c r="V28" s="132"/>
      <c r="W28" s="235"/>
    </row>
    <row r="29" spans="1:23" s="86" customFormat="1" ht="17.25" customHeight="1" x14ac:dyDescent="0.45">
      <c r="A29" s="104" t="s">
        <v>55</v>
      </c>
      <c r="B29" s="104"/>
      <c r="C29" s="104"/>
      <c r="D29" s="104"/>
      <c r="E29" s="104"/>
      <c r="F29" s="104"/>
      <c r="G29" s="104"/>
      <c r="H29" s="104"/>
      <c r="I29" s="104"/>
      <c r="J29" s="104"/>
      <c r="K29" s="101"/>
      <c r="L29" s="84"/>
      <c r="M29" s="84"/>
      <c r="N29" s="187"/>
      <c r="O29" s="188"/>
      <c r="P29" s="184"/>
      <c r="Q29" s="185"/>
      <c r="R29" s="132"/>
      <c r="S29" s="204"/>
      <c r="T29" s="132"/>
      <c r="U29" s="204"/>
      <c r="V29" s="132"/>
      <c r="W29" s="235"/>
    </row>
    <row r="30" spans="1:23" s="86" customFormat="1" ht="16.5" customHeight="1" x14ac:dyDescent="0.45">
      <c r="A30" s="100" t="s">
        <v>56</v>
      </c>
      <c r="B30" s="100"/>
      <c r="C30" s="100"/>
      <c r="D30" s="100"/>
      <c r="E30" s="100"/>
      <c r="F30" s="100"/>
      <c r="G30" s="100"/>
      <c r="H30" s="100"/>
      <c r="I30" s="100"/>
      <c r="J30" s="100"/>
      <c r="K30" s="101"/>
      <c r="L30" s="84"/>
      <c r="M30" s="84"/>
      <c r="N30" s="189" t="s">
        <v>116</v>
      </c>
      <c r="O30" s="190" t="s">
        <v>190</v>
      </c>
      <c r="P30" s="191"/>
      <c r="Q30" s="192" t="s">
        <v>155</v>
      </c>
      <c r="R30" s="172" t="s">
        <v>116</v>
      </c>
      <c r="S30" s="179" t="s">
        <v>190</v>
      </c>
      <c r="T30" s="173"/>
      <c r="U30" s="132"/>
      <c r="V30" s="176" t="s">
        <v>155</v>
      </c>
      <c r="W30" s="235"/>
    </row>
    <row r="31" spans="1:23" s="86" customFormat="1" ht="16.5" customHeight="1" x14ac:dyDescent="0.45">
      <c r="A31" s="84"/>
      <c r="B31" s="96">
        <f ca="1">Q31</f>
        <v>0.18464359091749999</v>
      </c>
      <c r="C31" s="85" t="s">
        <v>57</v>
      </c>
      <c r="D31" s="85"/>
      <c r="E31" s="85"/>
      <c r="F31" s="85"/>
      <c r="G31" s="85"/>
      <c r="H31" s="85"/>
      <c r="I31" s="85"/>
      <c r="J31" s="85"/>
      <c r="K31" s="101"/>
      <c r="L31" s="84"/>
      <c r="M31" s="84"/>
      <c r="N31" s="187" t="s">
        <v>117</v>
      </c>
      <c r="O31" s="188" t="s">
        <v>192</v>
      </c>
      <c r="P31" s="184"/>
      <c r="Q31" s="194" cm="1">
        <f t="array" aca="1" ref="Q31" ca="1">IF(O31="Y",VLOOKUP(N31,INDIRECT(P$4),4,0)*INDIRECT(N$2),VLOOKUP(N31,INDIRECT(P$4),4,0))</f>
        <v>0.18464359091749999</v>
      </c>
      <c r="R31" s="133" t="str">
        <f t="shared" ref="R31:S34" si="12">N31</f>
        <v>10th Year</v>
      </c>
      <c r="S31" s="175" t="str">
        <f t="shared" si="12"/>
        <v>Y</v>
      </c>
      <c r="T31" s="133"/>
      <c r="U31" s="205"/>
      <c r="V31" s="135">
        <f t="shared" ref="V31:V34" ca="1" si="13">ROUND(Q31,3)</f>
        <v>0.185</v>
      </c>
      <c r="W31" s="235"/>
    </row>
    <row r="32" spans="1:23" s="86" customFormat="1" ht="16.5" customHeight="1" x14ac:dyDescent="0.45">
      <c r="A32" s="84"/>
      <c r="B32" s="96">
        <f t="shared" ref="B32:B34" ca="1" si="14">Q32</f>
        <v>0.41162583962499988</v>
      </c>
      <c r="C32" s="100" t="s">
        <v>58</v>
      </c>
      <c r="D32" s="100"/>
      <c r="E32" s="100"/>
      <c r="F32" s="100"/>
      <c r="G32" s="100"/>
      <c r="H32" s="100"/>
      <c r="I32" s="100"/>
      <c r="J32" s="100"/>
      <c r="K32" s="101"/>
      <c r="L32" s="84"/>
      <c r="M32" s="84"/>
      <c r="N32" s="187" t="s">
        <v>118</v>
      </c>
      <c r="O32" s="188" t="s">
        <v>192</v>
      </c>
      <c r="P32" s="184"/>
      <c r="Q32" s="194" cm="1">
        <f t="array" aca="1" ref="Q32" ca="1">IF(O32="Y",VLOOKUP(N32,INDIRECT(P$4),4,0)*INDIRECT(N$2),VLOOKUP(N32,INDIRECT(P$4),4,0))</f>
        <v>0.41162583962499988</v>
      </c>
      <c r="R32" s="133" t="str">
        <f t="shared" si="12"/>
        <v>15th Year</v>
      </c>
      <c r="S32" s="175" t="str">
        <f t="shared" si="12"/>
        <v>Y</v>
      </c>
      <c r="T32" s="133"/>
      <c r="U32" s="205"/>
      <c r="V32" s="135">
        <f t="shared" ca="1" si="13"/>
        <v>0.41199999999999998</v>
      </c>
      <c r="W32" s="235"/>
    </row>
    <row r="33" spans="1:97" s="86" customFormat="1" ht="16.5" customHeight="1" x14ac:dyDescent="0.45">
      <c r="A33" s="84"/>
      <c r="B33" s="96">
        <f t="shared" ca="1" si="14"/>
        <v>0.50100745051499984</v>
      </c>
      <c r="C33" s="100" t="s">
        <v>59</v>
      </c>
      <c r="D33" s="100"/>
      <c r="E33" s="100"/>
      <c r="F33" s="100"/>
      <c r="G33" s="100"/>
      <c r="H33" s="100"/>
      <c r="I33" s="100"/>
      <c r="J33" s="100"/>
      <c r="K33" s="101"/>
      <c r="L33" s="84"/>
      <c r="M33" s="84"/>
      <c r="N33" s="187" t="s">
        <v>119</v>
      </c>
      <c r="O33" s="188" t="s">
        <v>192</v>
      </c>
      <c r="P33" s="184"/>
      <c r="Q33" s="194" cm="1">
        <f t="array" aca="1" ref="Q33" ca="1">IF(O33="Y",VLOOKUP(N33,INDIRECT(P$4),4,0)*INDIRECT(N$2),VLOOKUP(N33,INDIRECT(P$4),4,0))</f>
        <v>0.50100745051499984</v>
      </c>
      <c r="R33" s="133" t="str">
        <f t="shared" si="12"/>
        <v>20th Year</v>
      </c>
      <c r="S33" s="175" t="str">
        <f t="shared" si="12"/>
        <v>Y</v>
      </c>
      <c r="T33" s="133"/>
      <c r="U33" s="205"/>
      <c r="V33" s="135">
        <f t="shared" ca="1" si="13"/>
        <v>0.501</v>
      </c>
      <c r="W33" s="235"/>
    </row>
    <row r="34" spans="1:97" s="86" customFormat="1" ht="16.5" customHeight="1" x14ac:dyDescent="0.45">
      <c r="A34" s="84"/>
      <c r="B34" s="96">
        <f t="shared" ca="1" si="14"/>
        <v>0.87264678000499973</v>
      </c>
      <c r="C34" s="100" t="s">
        <v>60</v>
      </c>
      <c r="D34" s="100"/>
      <c r="E34" s="100"/>
      <c r="F34" s="100"/>
      <c r="G34" s="100"/>
      <c r="H34" s="100"/>
      <c r="I34" s="100"/>
      <c r="J34" s="100"/>
      <c r="K34" s="101"/>
      <c r="L34" s="84"/>
      <c r="M34" s="84"/>
      <c r="N34" s="187" t="s">
        <v>120</v>
      </c>
      <c r="O34" s="188" t="s">
        <v>192</v>
      </c>
      <c r="P34" s="184"/>
      <c r="Q34" s="194" cm="1">
        <f t="array" aca="1" ref="Q34" ca="1">IF(O34="Y",VLOOKUP(N34,INDIRECT(P$4),4,0)*INDIRECT(N$2),VLOOKUP(N34,INDIRECT(P$4),4,0))</f>
        <v>0.87264678000499973</v>
      </c>
      <c r="R34" s="133" t="str">
        <f t="shared" si="12"/>
        <v>25th Year</v>
      </c>
      <c r="S34" s="175" t="str">
        <f t="shared" si="12"/>
        <v>Y</v>
      </c>
      <c r="T34" s="133"/>
      <c r="U34" s="205"/>
      <c r="V34" s="135">
        <f t="shared" ca="1" si="13"/>
        <v>0.873</v>
      </c>
      <c r="W34" s="235"/>
    </row>
    <row r="35" spans="1:97" s="86" customFormat="1" ht="10.5" customHeight="1" thickBot="1" x14ac:dyDescent="0.5">
      <c r="A35" s="168"/>
      <c r="B35" s="169"/>
      <c r="C35" s="170"/>
      <c r="D35" s="170"/>
      <c r="E35" s="168"/>
      <c r="F35" s="168"/>
      <c r="G35" s="168"/>
      <c r="H35" s="170"/>
      <c r="I35" s="168"/>
      <c r="J35" s="168"/>
      <c r="K35" s="101"/>
      <c r="L35" s="84"/>
      <c r="M35" s="84"/>
      <c r="N35" s="187"/>
      <c r="O35" s="188"/>
      <c r="P35" s="184"/>
      <c r="Q35" s="185"/>
      <c r="R35" s="132"/>
      <c r="S35" s="204"/>
      <c r="T35" s="132"/>
      <c r="U35" s="204"/>
      <c r="V35" s="132"/>
      <c r="W35" s="235"/>
    </row>
    <row r="36" spans="1:97" s="86" customFormat="1" ht="20.25" customHeight="1" x14ac:dyDescent="0.45">
      <c r="A36" s="99" t="str">
        <f>"Group 2: (CST) Temporary Employees ("&amp;TEXT(P3-100%,"##.0%")&amp;" increase)"</f>
        <v>Group 2: (CST) Temporary Employees (3.0% increase)</v>
      </c>
      <c r="B36" s="101"/>
      <c r="C36" s="107"/>
      <c r="D36" s="107"/>
      <c r="E36" s="101"/>
      <c r="F36" s="101"/>
      <c r="G36" s="101"/>
      <c r="H36" s="107"/>
      <c r="I36" s="101"/>
      <c r="J36" s="101"/>
      <c r="K36" s="101"/>
      <c r="L36" s="84"/>
      <c r="M36" s="84"/>
      <c r="N36" s="187"/>
      <c r="O36" s="188"/>
      <c r="P36" s="184"/>
      <c r="Q36" s="185"/>
      <c r="R36" s="132"/>
      <c r="S36" s="204"/>
      <c r="T36" s="132"/>
      <c r="U36" s="204"/>
      <c r="V36" s="132"/>
      <c r="W36" s="235"/>
    </row>
    <row r="37" spans="1:97" s="86" customFormat="1" ht="62.65" x14ac:dyDescent="0.45">
      <c r="A37" s="91" t="s">
        <v>2</v>
      </c>
      <c r="B37" s="91" t="s">
        <v>101</v>
      </c>
      <c r="C37" s="92" t="s">
        <v>102</v>
      </c>
      <c r="D37" s="91" t="s">
        <v>103</v>
      </c>
      <c r="E37" s="93" t="s">
        <v>12</v>
      </c>
      <c r="F37" s="93" t="s">
        <v>32</v>
      </c>
      <c r="G37" s="90" t="s">
        <v>104</v>
      </c>
      <c r="H37" s="91" t="s">
        <v>62</v>
      </c>
      <c r="I37" s="108" t="s">
        <v>63</v>
      </c>
      <c r="J37" s="94"/>
      <c r="K37" s="109"/>
      <c r="L37" s="101"/>
      <c r="M37" s="84"/>
      <c r="N37" s="189" t="s">
        <v>3</v>
      </c>
      <c r="O37" s="190" t="s">
        <v>190</v>
      </c>
      <c r="P37" s="191" t="s">
        <v>6</v>
      </c>
      <c r="Q37" s="192" t="s">
        <v>155</v>
      </c>
      <c r="R37" s="172" t="s">
        <v>3</v>
      </c>
      <c r="S37" s="179" t="s">
        <v>190</v>
      </c>
      <c r="T37" s="173" t="s">
        <v>6</v>
      </c>
      <c r="U37" s="132"/>
      <c r="V37" s="176" t="s">
        <v>155</v>
      </c>
      <c r="W37" s="235"/>
      <c r="X37" s="113"/>
      <c r="Y37" s="114"/>
    </row>
    <row r="38" spans="1:97" s="86" customFormat="1" x14ac:dyDescent="0.45">
      <c r="A38" s="83" t="s">
        <v>39</v>
      </c>
      <c r="B38" s="83" t="s">
        <v>65</v>
      </c>
      <c r="C38" s="243" t="s">
        <v>66</v>
      </c>
      <c r="D38" s="83">
        <v>248</v>
      </c>
      <c r="E38" s="83">
        <v>5</v>
      </c>
      <c r="F38" s="95" t="s">
        <v>22</v>
      </c>
      <c r="G38" s="83" t="s">
        <v>42</v>
      </c>
      <c r="H38" s="96" t="s">
        <v>67</v>
      </c>
      <c r="I38" s="96">
        <f ca="1">Q38</f>
        <v>30.219419821968003</v>
      </c>
      <c r="J38" s="84"/>
      <c r="K38" s="84"/>
      <c r="L38" s="84"/>
      <c r="M38" s="84"/>
      <c r="N38" s="184" t="str">
        <f>B38</f>
        <v>09300C</v>
      </c>
      <c r="O38" s="185" t="s">
        <v>192</v>
      </c>
      <c r="P38" s="198" t="s">
        <v>64</v>
      </c>
      <c r="Q38" s="194" cm="1">
        <f t="array" aca="1" ref="Q38" ca="1">IF(O38="Y",VLOOKUP(N38,INDIRECT(P$4),4,0)*INDIRECT(N$3),VLOOKUP(N38,INDIRECT(P$4),4,0))</f>
        <v>30.219419821968003</v>
      </c>
      <c r="R38" s="133" t="str">
        <f t="shared" ref="R38:S41" si="15">N38</f>
        <v>09300C</v>
      </c>
      <c r="S38" s="175" t="str">
        <f t="shared" si="15"/>
        <v>Y</v>
      </c>
      <c r="T38" s="133"/>
      <c r="U38" s="205"/>
      <c r="V38" s="135">
        <f t="shared" ref="V38:V41" ca="1" si="16">ROUND(Q38,3)</f>
        <v>30.219000000000001</v>
      </c>
      <c r="W38" s="235"/>
      <c r="X38" s="120"/>
      <c r="Y38" s="119"/>
    </row>
    <row r="39" spans="1:97" s="86" customFormat="1" ht="15" customHeight="1" x14ac:dyDescent="0.45">
      <c r="A39" s="83"/>
      <c r="B39" s="83" t="s">
        <v>62</v>
      </c>
      <c r="C39" s="244" t="s">
        <v>246</v>
      </c>
      <c r="D39" s="84"/>
      <c r="E39" s="84"/>
      <c r="F39" s="84"/>
      <c r="G39" s="83" t="s">
        <v>42</v>
      </c>
      <c r="H39" s="96">
        <f ca="1">Q72</f>
        <v>2.0562091056000007</v>
      </c>
      <c r="I39" s="96">
        <f ca="1">Q39</f>
        <v>32.275628927568007</v>
      </c>
      <c r="J39" s="84"/>
      <c r="K39" s="84"/>
      <c r="L39" s="84"/>
      <c r="M39" s="84"/>
      <c r="N39" s="199" t="s">
        <v>149</v>
      </c>
      <c r="O39" s="200" t="s">
        <v>192</v>
      </c>
      <c r="P39" s="198"/>
      <c r="Q39" s="194" cm="1">
        <f t="array" aca="1" ref="Q39" ca="1">IF(O39="Y",VLOOKUP(N39,INDIRECT(P$4),4,0)*INDIRECT(N$3),VLOOKUP(N39,INDIRECT(P$4),4,0))</f>
        <v>32.275628927568007</v>
      </c>
      <c r="R39" s="133" t="str">
        <f t="shared" si="15"/>
        <v>Step 2</v>
      </c>
      <c r="S39" s="175" t="str">
        <f t="shared" si="15"/>
        <v>Y</v>
      </c>
      <c r="T39" s="133"/>
      <c r="U39" s="205"/>
      <c r="V39" s="135">
        <f t="shared" ca="1" si="16"/>
        <v>32.276000000000003</v>
      </c>
      <c r="W39" s="235"/>
      <c r="X39" s="120"/>
      <c r="Y39" s="119"/>
    </row>
    <row r="40" spans="1:97" s="86" customFormat="1" x14ac:dyDescent="0.45">
      <c r="A40" s="83"/>
      <c r="B40" s="83" t="s">
        <v>62</v>
      </c>
      <c r="C40" s="244" t="s">
        <v>247</v>
      </c>
      <c r="D40" s="84"/>
      <c r="E40" s="84"/>
      <c r="F40" s="84"/>
      <c r="G40" s="83" t="s">
        <v>42</v>
      </c>
      <c r="H40" s="96">
        <f ca="1">Q70</f>
        <v>7.5657071702159975</v>
      </c>
      <c r="I40" s="96">
        <f ca="1">Q40</f>
        <v>37.785126992184004</v>
      </c>
      <c r="J40" s="84"/>
      <c r="K40" s="84"/>
      <c r="L40" s="84"/>
      <c r="M40" s="84"/>
      <c r="N40" s="199" t="s">
        <v>150</v>
      </c>
      <c r="O40" s="200" t="s">
        <v>192</v>
      </c>
      <c r="P40" s="198"/>
      <c r="Q40" s="194" cm="1">
        <f t="array" aca="1" ref="Q40" ca="1">IF(O40="Y",VLOOKUP(N40,INDIRECT(P$4),4,0)*INDIRECT(N$3),VLOOKUP(N40,INDIRECT(P$4),4,0))</f>
        <v>37.785126992184004</v>
      </c>
      <c r="R40" s="133" t="str">
        <f t="shared" si="15"/>
        <v>Step 3</v>
      </c>
      <c r="S40" s="175" t="str">
        <f t="shared" si="15"/>
        <v>Y</v>
      </c>
      <c r="T40" s="133"/>
      <c r="U40" s="205"/>
      <c r="V40" s="135">
        <f t="shared" ca="1" si="16"/>
        <v>37.784999999999997</v>
      </c>
      <c r="W40" s="235"/>
      <c r="X40" s="125"/>
    </row>
    <row r="41" spans="1:97" s="86" customFormat="1" x14ac:dyDescent="0.45">
      <c r="A41" s="83"/>
      <c r="B41" s="83" t="s">
        <v>62</v>
      </c>
      <c r="C41" s="243" t="s">
        <v>70</v>
      </c>
      <c r="D41" s="84"/>
      <c r="E41" s="84"/>
      <c r="F41" s="84"/>
      <c r="G41" s="83" t="s">
        <v>42</v>
      </c>
      <c r="H41" s="96">
        <f ca="1">Q67</f>
        <v>18.806316947496001</v>
      </c>
      <c r="I41" s="96">
        <f ca="1">Q41</f>
        <v>49.025736769464004</v>
      </c>
      <c r="J41" s="171"/>
      <c r="K41" s="84"/>
      <c r="L41" s="84"/>
      <c r="M41" s="84"/>
      <c r="N41" s="187" t="s">
        <v>151</v>
      </c>
      <c r="O41" s="185" t="s">
        <v>192</v>
      </c>
      <c r="P41" s="198"/>
      <c r="Q41" s="194" cm="1">
        <f t="array" aca="1" ref="Q41" ca="1">IF(O41="Y",VLOOKUP(N41,INDIRECT(P$4),4,0)*INDIRECT(N$3),VLOOKUP(N41,INDIRECT(P$4),4,0))</f>
        <v>49.025736769464004</v>
      </c>
      <c r="R41" s="133" t="str">
        <f t="shared" si="15"/>
        <v>Step 4</v>
      </c>
      <c r="S41" s="175" t="str">
        <f t="shared" si="15"/>
        <v>Y</v>
      </c>
      <c r="T41" s="133"/>
      <c r="U41" s="205"/>
      <c r="V41" s="135">
        <f t="shared" ca="1" si="16"/>
        <v>49.026000000000003</v>
      </c>
      <c r="W41" s="235"/>
      <c r="X41" s="125"/>
    </row>
    <row r="42" spans="1:97" s="86" customFormat="1" x14ac:dyDescent="0.45">
      <c r="A42" s="84"/>
      <c r="B42" s="83"/>
      <c r="C42" s="245" t="s">
        <v>249</v>
      </c>
      <c r="D42" s="84"/>
      <c r="E42" s="84"/>
      <c r="F42" s="84"/>
      <c r="G42" s="84"/>
      <c r="H42" s="84"/>
      <c r="I42" s="84"/>
      <c r="J42" s="84"/>
      <c r="K42" s="84"/>
      <c r="L42" s="84"/>
      <c r="M42" s="84"/>
      <c r="N42" s="187"/>
      <c r="O42" s="185"/>
      <c r="P42" s="184"/>
      <c r="Q42" s="185"/>
      <c r="R42" s="132"/>
      <c r="S42" s="204"/>
      <c r="T42" s="132"/>
      <c r="U42" s="204"/>
      <c r="V42" s="132"/>
      <c r="W42" s="235"/>
    </row>
    <row r="43" spans="1:97" s="86" customFormat="1" x14ac:dyDescent="0.45">
      <c r="A43" s="84"/>
      <c r="B43" s="83" t="s">
        <v>62</v>
      </c>
      <c r="C43" s="244" t="s">
        <v>248</v>
      </c>
      <c r="D43" s="84"/>
      <c r="E43" s="84"/>
      <c r="F43" s="84"/>
      <c r="G43" s="83" t="s">
        <v>73</v>
      </c>
      <c r="H43" s="96">
        <f ca="1">Q64</f>
        <v>8.9148088111680011</v>
      </c>
      <c r="I43" s="96">
        <f ca="1">Q43</f>
        <v>39.134228633136011</v>
      </c>
      <c r="J43" s="84"/>
      <c r="K43" s="84"/>
      <c r="L43" s="171"/>
      <c r="M43" s="84"/>
      <c r="N43" s="187" t="s">
        <v>152</v>
      </c>
      <c r="O43" s="185" t="s">
        <v>192</v>
      </c>
      <c r="P43" s="198"/>
      <c r="Q43" s="194" cm="1">
        <f t="array" aca="1" ref="Q43" ca="1">IF(O43="Y",VLOOKUP(N43,INDIRECT(P$4),4,0)*INDIRECT(N$3),VLOOKUP(N43,INDIRECT(P$4),4,0))</f>
        <v>39.134228633136011</v>
      </c>
      <c r="R43" s="133" t="str">
        <f t="shared" ref="R43:S43" si="17">N43</f>
        <v>Step 5</v>
      </c>
      <c r="S43" s="175" t="str">
        <f t="shared" si="17"/>
        <v>Y</v>
      </c>
      <c r="T43" s="133"/>
      <c r="U43" s="205"/>
      <c r="V43" s="135">
        <f t="shared" ref="V43" ca="1" si="18">ROUND(Q43,3)</f>
        <v>39.134</v>
      </c>
      <c r="W43" s="235"/>
      <c r="X43" s="125"/>
    </row>
    <row r="44" spans="1:97" s="86" customFormat="1" x14ac:dyDescent="0.45">
      <c r="A44" s="84"/>
      <c r="B44" s="84"/>
      <c r="C44" s="83"/>
      <c r="D44" s="85"/>
      <c r="E44" s="84"/>
      <c r="F44" s="84"/>
      <c r="G44" s="83"/>
      <c r="H44" s="96"/>
      <c r="I44" s="96"/>
      <c r="J44" s="84"/>
      <c r="K44" s="84"/>
      <c r="L44" s="84"/>
      <c r="M44" s="84"/>
      <c r="N44" s="187"/>
      <c r="O44" s="188"/>
      <c r="P44" s="198"/>
      <c r="Q44" s="194"/>
      <c r="R44" s="206"/>
      <c r="S44" s="204"/>
      <c r="T44" s="206"/>
      <c r="U44" s="204"/>
      <c r="V44" s="135"/>
      <c r="W44" s="235"/>
      <c r="X44" s="125"/>
    </row>
    <row r="45" spans="1:97" s="240" customFormat="1" x14ac:dyDescent="0.45">
      <c r="A45" s="99"/>
      <c r="B45" s="84"/>
      <c r="C45" s="83"/>
      <c r="D45" s="85"/>
      <c r="E45" s="84"/>
      <c r="F45" s="84"/>
      <c r="G45" s="83"/>
      <c r="H45" s="96"/>
      <c r="I45" s="96"/>
      <c r="J45" s="84"/>
      <c r="K45" s="84"/>
      <c r="L45" s="84"/>
      <c r="M45" s="84"/>
      <c r="N45" s="236"/>
      <c r="O45" s="237"/>
      <c r="P45" s="238"/>
      <c r="Q45" s="239"/>
      <c r="R45" s="236"/>
      <c r="S45" s="237"/>
      <c r="T45" s="238"/>
      <c r="U45" s="239"/>
      <c r="V45" s="135"/>
      <c r="W45" s="235"/>
      <c r="X45" s="125"/>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row>
    <row r="46" spans="1:97" s="86" customFormat="1" x14ac:dyDescent="0.45">
      <c r="A46" s="84"/>
      <c r="B46" s="84"/>
      <c r="C46" s="83"/>
      <c r="D46" s="85"/>
      <c r="E46" s="84"/>
      <c r="F46" s="84"/>
      <c r="G46" s="83"/>
      <c r="H46" s="96"/>
      <c r="I46" s="96"/>
      <c r="J46" s="84"/>
      <c r="K46" s="84"/>
      <c r="L46" s="84"/>
      <c r="M46" s="84"/>
      <c r="N46" s="187"/>
      <c r="O46" s="188"/>
      <c r="P46" s="198"/>
      <c r="Q46" s="194"/>
      <c r="R46" s="206"/>
      <c r="S46" s="204"/>
      <c r="T46" s="206"/>
      <c r="U46" s="204"/>
      <c r="V46" s="204"/>
      <c r="W46" s="235"/>
      <c r="X46" s="125"/>
    </row>
    <row r="47" spans="1:97" s="86" customFormat="1" ht="29.25" customHeight="1" x14ac:dyDescent="0.45">
      <c r="A47" s="242" t="s">
        <v>137</v>
      </c>
      <c r="B47" s="242"/>
      <c r="C47" s="242"/>
      <c r="D47" s="242"/>
      <c r="E47" s="242"/>
      <c r="F47" s="242"/>
      <c r="G47" s="242"/>
      <c r="H47" s="242"/>
      <c r="I47" s="242"/>
      <c r="J47" s="242"/>
      <c r="K47" s="84"/>
      <c r="L47" s="84"/>
      <c r="M47" s="84"/>
      <c r="N47" s="201"/>
      <c r="O47" s="201"/>
      <c r="P47" s="201"/>
      <c r="Q47" s="212"/>
      <c r="R47" s="132"/>
      <c r="S47" s="132"/>
      <c r="T47" s="132"/>
      <c r="U47" s="132"/>
      <c r="V47" s="132"/>
      <c r="W47" s="235"/>
      <c r="X47" s="125"/>
    </row>
    <row r="48" spans="1:97" s="86" customFormat="1" x14ac:dyDescent="0.45">
      <c r="A48" s="234"/>
      <c r="B48" s="234"/>
      <c r="C48" s="234"/>
      <c r="D48" s="234"/>
      <c r="E48" s="234"/>
      <c r="F48" s="234"/>
      <c r="G48" s="234"/>
      <c r="H48" s="234"/>
      <c r="I48" s="234"/>
      <c r="J48" s="234"/>
      <c r="K48" s="84"/>
      <c r="L48" s="84"/>
      <c r="M48" s="84"/>
      <c r="N48" s="201"/>
      <c r="O48" s="201"/>
      <c r="P48" s="201"/>
      <c r="Q48" s="212"/>
      <c r="R48" s="132"/>
      <c r="S48" s="132"/>
      <c r="T48" s="132"/>
      <c r="U48" s="132"/>
      <c r="V48" s="132"/>
      <c r="W48" s="235"/>
      <c r="X48" s="125"/>
    </row>
    <row r="49" spans="1:24" s="86" customFormat="1" x14ac:dyDescent="0.45">
      <c r="A49" s="99" t="s">
        <v>195</v>
      </c>
      <c r="B49" s="84"/>
      <c r="C49" s="83"/>
      <c r="E49" s="84"/>
      <c r="F49" s="84"/>
      <c r="G49" s="83" t="s">
        <v>42</v>
      </c>
      <c r="H49" s="216">
        <f ca="1">Q75</f>
        <v>21.046196147496001</v>
      </c>
      <c r="I49" s="171">
        <f ca="1">Q49</f>
        <v>51.265615969464008</v>
      </c>
      <c r="J49" s="84"/>
      <c r="K49" s="84"/>
      <c r="L49" s="84"/>
      <c r="M49" s="84"/>
      <c r="N49" s="187"/>
      <c r="O49" s="188"/>
      <c r="P49" s="184"/>
      <c r="Q49" s="194">
        <f ca="1">Q75+Q38</f>
        <v>51.265615969464008</v>
      </c>
      <c r="R49" s="133"/>
      <c r="S49" s="175"/>
      <c r="T49" s="133"/>
      <c r="U49" s="175"/>
      <c r="V49" s="135"/>
      <c r="W49" s="235"/>
    </row>
    <row r="50" spans="1:24" s="86" customFormat="1" x14ac:dyDescent="0.45">
      <c r="A50" s="84"/>
      <c r="B50" s="85" t="s">
        <v>200</v>
      </c>
      <c r="C50" s="83"/>
      <c r="E50" s="84"/>
      <c r="F50" s="84"/>
      <c r="G50" s="84"/>
      <c r="H50" s="83"/>
      <c r="I50" s="84"/>
      <c r="J50" s="84"/>
      <c r="K50" s="84"/>
      <c r="L50" s="84"/>
      <c r="M50" s="84"/>
      <c r="N50" s="187"/>
      <c r="O50" s="188"/>
      <c r="P50" s="184"/>
      <c r="Q50" s="185"/>
      <c r="R50" s="132"/>
      <c r="S50" s="204"/>
      <c r="T50" s="132"/>
      <c r="U50" s="204"/>
      <c r="V50" s="132"/>
      <c r="W50" s="235"/>
    </row>
    <row r="51" spans="1:24" s="86" customFormat="1" x14ac:dyDescent="0.45">
      <c r="A51" s="84"/>
      <c r="B51" s="85" t="s">
        <v>199</v>
      </c>
      <c r="C51" s="83"/>
      <c r="D51" s="85"/>
      <c r="E51" s="84"/>
      <c r="F51" s="84"/>
      <c r="G51" s="84"/>
      <c r="H51" s="83"/>
      <c r="I51" s="84"/>
      <c r="J51" s="84"/>
      <c r="K51" s="84"/>
      <c r="L51" s="84"/>
      <c r="M51" s="84"/>
      <c r="N51" s="187"/>
      <c r="O51" s="188"/>
      <c r="P51" s="184"/>
      <c r="Q51" s="185"/>
      <c r="R51" s="132"/>
      <c r="S51" s="204"/>
      <c r="T51" s="132"/>
      <c r="U51" s="204"/>
      <c r="V51" s="132"/>
      <c r="W51" s="235"/>
    </row>
    <row r="52" spans="1:24" s="86" customFormat="1" x14ac:dyDescent="0.45">
      <c r="A52" s="84"/>
      <c r="B52" s="85"/>
      <c r="C52" s="83"/>
      <c r="D52" s="85"/>
      <c r="E52" s="84"/>
      <c r="F52" s="84"/>
      <c r="G52" s="84"/>
      <c r="H52" s="83"/>
      <c r="I52" s="84"/>
      <c r="J52" s="84"/>
      <c r="K52" s="84"/>
      <c r="L52" s="84"/>
      <c r="M52" s="84"/>
      <c r="N52" s="187"/>
      <c r="O52" s="188"/>
      <c r="P52" s="184"/>
      <c r="Q52" s="185"/>
      <c r="R52" s="132"/>
      <c r="S52" s="204"/>
      <c r="T52" s="132"/>
      <c r="U52" s="204"/>
      <c r="V52" s="132"/>
      <c r="W52" s="235"/>
    </row>
    <row r="53" spans="1:24" s="86" customFormat="1" ht="14.25" customHeight="1" x14ac:dyDescent="0.45">
      <c r="A53" s="128"/>
      <c r="B53" s="105"/>
      <c r="C53" s="106"/>
      <c r="D53" s="128"/>
      <c r="E53" s="105"/>
      <c r="F53" s="105"/>
      <c r="G53" s="106"/>
      <c r="H53" s="129"/>
      <c r="I53" s="129"/>
      <c r="J53" s="105"/>
      <c r="K53" s="84"/>
      <c r="L53" s="84"/>
      <c r="M53" s="84"/>
      <c r="N53" s="201"/>
      <c r="O53" s="201"/>
      <c r="P53" s="201"/>
      <c r="Q53" s="212"/>
      <c r="R53" s="132"/>
      <c r="S53" s="132"/>
      <c r="T53" s="132"/>
      <c r="U53" s="132"/>
      <c r="V53" s="132"/>
      <c r="W53" s="235"/>
      <c r="X53" s="125"/>
    </row>
    <row r="54" spans="1:24" s="86" customFormat="1" x14ac:dyDescent="0.45">
      <c r="A54" s="99"/>
      <c r="C54" s="84"/>
      <c r="D54" s="84"/>
      <c r="E54" s="84"/>
      <c r="F54" s="84"/>
      <c r="G54" s="84"/>
      <c r="H54" s="84"/>
      <c r="I54" s="84"/>
      <c r="J54" s="84"/>
      <c r="K54" s="84"/>
      <c r="L54" s="84"/>
      <c r="M54" s="84"/>
      <c r="N54" s="201"/>
      <c r="O54" s="201"/>
      <c r="P54" s="201"/>
      <c r="Q54" s="212"/>
      <c r="R54" s="132"/>
      <c r="S54" s="132"/>
      <c r="T54" s="132"/>
      <c r="U54" s="132"/>
      <c r="V54" s="132"/>
      <c r="W54" s="235"/>
    </row>
    <row r="55" spans="1:24" s="86" customFormat="1" x14ac:dyDescent="0.45">
      <c r="A55" s="242" t="str">
        <f>"In addition to the above wage rates for Temporary Employees, the Employer shall make contributions to the IATSE Health and Welfare Plan"</f>
        <v>In addition to the above wage rates for Temporary Employees, the Employer shall make contributions to the IATSE Health and Welfare Plan</v>
      </c>
      <c r="B55" s="242"/>
      <c r="C55" s="242"/>
      <c r="D55" s="242"/>
      <c r="E55" s="242"/>
      <c r="F55" s="242"/>
      <c r="G55" s="242"/>
      <c r="H55" s="242"/>
      <c r="I55" s="242"/>
      <c r="J55" s="242"/>
      <c r="K55" s="84"/>
      <c r="L55" s="84"/>
      <c r="M55" s="84"/>
      <c r="N55" s="184" t="s">
        <v>201</v>
      </c>
      <c r="O55" s="201"/>
      <c r="P55" s="201"/>
      <c r="Q55" s="213">
        <v>0.125</v>
      </c>
      <c r="R55" s="133" t="str">
        <f>N55</f>
        <v>IATSE H&amp;W</v>
      </c>
      <c r="S55" s="133"/>
      <c r="T55" s="133"/>
      <c r="U55" s="133"/>
      <c r="V55" s="218">
        <f>Q55</f>
        <v>0.125</v>
      </c>
      <c r="W55" s="235"/>
    </row>
    <row r="56" spans="1:24" s="86" customFormat="1" x14ac:dyDescent="0.45">
      <c r="A56" s="84" t="str">
        <f>"sponsored by the Union for the benefit of its members. Such contributions shall be made at the rate of "&amp;TEXT(Q55,"###.0%")&amp;" of gross wages."</f>
        <v>sponsored by the Union for the benefit of its members. Such contributions shall be made at the rate of 12.5% of gross wages.</v>
      </c>
      <c r="C56" s="84"/>
      <c r="D56" s="84"/>
      <c r="E56" s="84"/>
      <c r="F56" s="84"/>
      <c r="G56" s="84"/>
      <c r="H56" s="84"/>
      <c r="I56" s="84"/>
      <c r="J56" s="84"/>
      <c r="K56" s="84"/>
      <c r="L56" s="84"/>
      <c r="M56" s="84"/>
      <c r="N56" s="201"/>
      <c r="O56" s="201"/>
      <c r="P56" s="201"/>
      <c r="Q56" s="212"/>
      <c r="R56" s="132"/>
      <c r="S56" s="132"/>
      <c r="T56" s="132"/>
      <c r="U56" s="132"/>
      <c r="V56" s="132"/>
      <c r="W56" s="235"/>
    </row>
    <row r="57" spans="1:24" s="86" customFormat="1" x14ac:dyDescent="0.45">
      <c r="A57" s="84"/>
      <c r="C57" s="84"/>
      <c r="D57" s="84"/>
      <c r="E57" s="84"/>
      <c r="F57" s="84"/>
      <c r="G57" s="84"/>
      <c r="H57" s="84"/>
      <c r="I57" s="84"/>
      <c r="J57" s="84"/>
      <c r="K57" s="84"/>
      <c r="L57" s="84"/>
      <c r="M57" s="84"/>
      <c r="N57" s="201"/>
      <c r="O57" s="201"/>
      <c r="P57" s="201"/>
      <c r="Q57" s="212"/>
      <c r="R57" s="132"/>
      <c r="S57" s="132"/>
      <c r="T57" s="132"/>
      <c r="U57" s="132"/>
      <c r="V57" s="132"/>
      <c r="W57" s="235"/>
    </row>
    <row r="58" spans="1:24" s="86" customFormat="1" x14ac:dyDescent="0.45">
      <c r="A58" s="99" t="s">
        <v>93</v>
      </c>
      <c r="C58" s="84"/>
      <c r="D58" s="84"/>
      <c r="E58" s="84"/>
      <c r="F58" s="84"/>
      <c r="G58" s="84"/>
      <c r="H58" s="84"/>
      <c r="I58" s="84"/>
      <c r="J58" s="84"/>
      <c r="K58" s="84"/>
      <c r="L58" s="84"/>
      <c r="M58" s="84"/>
      <c r="N58" s="201"/>
      <c r="O58" s="201"/>
      <c r="P58" s="201"/>
      <c r="Q58" s="212"/>
      <c r="R58" s="132"/>
      <c r="S58" s="132"/>
      <c r="T58" s="132"/>
      <c r="U58" s="132"/>
      <c r="V58" s="132"/>
      <c r="W58" s="235"/>
    </row>
    <row r="59" spans="1:24" s="86" customFormat="1" x14ac:dyDescent="0.45">
      <c r="A59" s="242" t="s">
        <v>202</v>
      </c>
      <c r="B59" s="242"/>
      <c r="C59" s="242"/>
      <c r="D59" s="242"/>
      <c r="E59" s="242"/>
      <c r="F59" s="242"/>
      <c r="G59" s="242"/>
      <c r="H59" s="242"/>
      <c r="I59" s="242"/>
      <c r="J59" s="242"/>
      <c r="K59" s="84"/>
      <c r="L59" s="84"/>
      <c r="M59" s="84"/>
      <c r="N59" s="201"/>
      <c r="O59" s="201"/>
      <c r="P59" s="201"/>
      <c r="Q59" s="212"/>
      <c r="R59" s="132"/>
      <c r="S59" s="132"/>
      <c r="T59" s="132"/>
      <c r="U59" s="132"/>
      <c r="V59" s="132"/>
      <c r="W59" s="235"/>
    </row>
    <row r="60" spans="1:24" s="86" customFormat="1" x14ac:dyDescent="0.45">
      <c r="A60" s="85" t="str">
        <f>"Trust, sponsored by the Union for the benefit of its members. Such contributions shall be made at the rate of "&amp;TEXT(Q60,"##.0%")&amp;" of gross wages."</f>
        <v>Trust, sponsored by the Union for the benefit of its members. Such contributions shall be made at the rate of 6.0% of gross wages.</v>
      </c>
      <c r="B60" s="234"/>
      <c r="C60" s="234"/>
      <c r="D60" s="234"/>
      <c r="E60" s="234"/>
      <c r="F60" s="234"/>
      <c r="G60" s="234"/>
      <c r="H60" s="234"/>
      <c r="I60" s="234"/>
      <c r="J60" s="234"/>
      <c r="K60" s="84"/>
      <c r="L60" s="84"/>
      <c r="M60" s="84"/>
      <c r="N60" s="184" t="s">
        <v>203</v>
      </c>
      <c r="O60" s="201"/>
      <c r="P60" s="201"/>
      <c r="Q60" s="213">
        <v>0.06</v>
      </c>
      <c r="R60" s="133" t="str">
        <f>N60</f>
        <v>IATSE Retirement</v>
      </c>
      <c r="S60" s="133"/>
      <c r="T60" s="133"/>
      <c r="U60" s="133"/>
      <c r="V60" s="218">
        <f>Q60</f>
        <v>0.06</v>
      </c>
      <c r="W60" s="235"/>
    </row>
    <row r="61" spans="1:24" s="86" customFormat="1" x14ac:dyDescent="0.45">
      <c r="A61" s="85"/>
      <c r="B61" s="234"/>
      <c r="C61" s="234"/>
      <c r="D61" s="234"/>
      <c r="E61" s="234"/>
      <c r="F61" s="234"/>
      <c r="G61" s="234"/>
      <c r="H61" s="234"/>
      <c r="I61" s="234"/>
      <c r="J61" s="234"/>
      <c r="K61" s="84"/>
      <c r="L61" s="84"/>
      <c r="M61" s="84"/>
      <c r="N61" s="184"/>
      <c r="O61" s="201"/>
      <c r="P61" s="201"/>
      <c r="Q61" s="214"/>
      <c r="R61" s="132"/>
      <c r="S61" s="132"/>
      <c r="T61" s="132"/>
      <c r="U61" s="132"/>
      <c r="V61" s="132"/>
      <c r="W61" s="235"/>
    </row>
    <row r="62" spans="1:24" s="86" customFormat="1" x14ac:dyDescent="0.45">
      <c r="A62" s="84"/>
      <c r="C62" s="84"/>
      <c r="D62" s="84"/>
      <c r="E62" s="84"/>
      <c r="F62" s="84"/>
      <c r="G62" s="84"/>
      <c r="H62" s="84"/>
      <c r="I62" s="84"/>
      <c r="J62" s="84"/>
      <c r="K62" s="84"/>
      <c r="L62" s="84"/>
      <c r="M62" s="84"/>
      <c r="N62" s="189" t="s">
        <v>156</v>
      </c>
      <c r="O62" s="190"/>
      <c r="P62" s="191" t="s">
        <v>157</v>
      </c>
      <c r="Q62" s="192" t="s">
        <v>155</v>
      </c>
      <c r="R62" s="172" t="s">
        <v>156</v>
      </c>
      <c r="S62" s="179" t="s">
        <v>190</v>
      </c>
      <c r="T62" s="173" t="s">
        <v>157</v>
      </c>
      <c r="U62" s="132"/>
      <c r="V62" s="176" t="s">
        <v>155</v>
      </c>
      <c r="W62" s="235"/>
    </row>
    <row r="63" spans="1:24" s="86" customFormat="1" x14ac:dyDescent="0.45">
      <c r="A63" s="84"/>
      <c r="C63" s="84"/>
      <c r="D63" s="84"/>
      <c r="E63" s="84"/>
      <c r="F63" s="84"/>
      <c r="G63" s="84"/>
      <c r="H63" s="84"/>
      <c r="I63" s="84"/>
      <c r="J63" s="84"/>
      <c r="K63" s="84"/>
      <c r="L63" s="84"/>
      <c r="M63" s="84"/>
      <c r="N63" s="202" t="s">
        <v>158</v>
      </c>
      <c r="O63" s="203" t="s">
        <v>192</v>
      </c>
      <c r="P63" s="202" t="s">
        <v>159</v>
      </c>
      <c r="Q63" s="194" cm="1">
        <f t="array" aca="1" ref="Q63" ca="1">IF(O63="Y",VLOOKUP(N63,INDIRECT(P$4),4,0)*INDIRECT(N$3),VLOOKUP(N63,INDIRECT(P$4),4,0))</f>
        <v>8.9148088111680011</v>
      </c>
      <c r="R63" s="207" t="str">
        <f t="shared" ref="R63:T77" si="19">N63</f>
        <v>LDD</v>
      </c>
      <c r="S63" s="208" t="str">
        <f t="shared" si="19"/>
        <v>Y</v>
      </c>
      <c r="T63" s="207" t="str">
        <f>P63</f>
        <v>Perfm 3 Stagehands/Dbl/</v>
      </c>
      <c r="U63" s="209"/>
      <c r="V63" s="210">
        <f t="shared" ref="V63:V77" ca="1" si="20">ROUND(Q63,3)</f>
        <v>8.9149999999999991</v>
      </c>
      <c r="W63" s="235"/>
    </row>
    <row r="64" spans="1:24" s="86" customFormat="1" x14ac:dyDescent="0.45">
      <c r="A64" s="84"/>
      <c r="C64" s="84"/>
      <c r="D64" s="84"/>
      <c r="E64" s="84"/>
      <c r="F64" s="84"/>
      <c r="G64" s="84"/>
      <c r="H64" s="84"/>
      <c r="I64" s="84"/>
      <c r="J64" s="84"/>
      <c r="K64" s="84"/>
      <c r="L64" s="84"/>
      <c r="M64" s="84"/>
      <c r="N64" s="202" t="s">
        <v>160</v>
      </c>
      <c r="O64" s="203" t="s">
        <v>192</v>
      </c>
      <c r="P64" s="202" t="s">
        <v>161</v>
      </c>
      <c r="Q64" s="194" cm="1">
        <f t="array" aca="1" ref="Q64" ca="1">IF(O64="Y",VLOOKUP(N64,INDIRECT(P$4),4,0)*INDIRECT(N$3),VLOOKUP(N64,INDIRECT(P$4),4,0))</f>
        <v>8.9148088111680011</v>
      </c>
      <c r="R64" s="207" t="str">
        <f t="shared" si="19"/>
        <v>LDR</v>
      </c>
      <c r="S64" s="208" t="str">
        <f t="shared" si="19"/>
        <v>Y</v>
      </c>
      <c r="T64" s="207" t="str">
        <f t="shared" si="19"/>
        <v>Perfm 3 Stagehands</v>
      </c>
      <c r="U64" s="209"/>
      <c r="V64" s="210">
        <f t="shared" ca="1" si="20"/>
        <v>8.9149999999999991</v>
      </c>
      <c r="W64" s="235"/>
    </row>
    <row r="65" spans="1:23" s="86" customFormat="1" x14ac:dyDescent="0.45">
      <c r="A65" s="84"/>
      <c r="B65" s="84"/>
      <c r="C65" s="84"/>
      <c r="D65" s="84"/>
      <c r="E65" s="84"/>
      <c r="F65" s="84"/>
      <c r="G65" s="84"/>
      <c r="H65" s="84"/>
      <c r="I65" s="84"/>
      <c r="J65" s="84"/>
      <c r="K65" s="84"/>
      <c r="L65" s="84"/>
      <c r="M65" s="84"/>
      <c r="N65" s="202" t="s">
        <v>162</v>
      </c>
      <c r="O65" s="203" t="s">
        <v>192</v>
      </c>
      <c r="P65" s="202" t="s">
        <v>163</v>
      </c>
      <c r="Q65" s="194" cm="1">
        <f t="array" aca="1" ref="Q65" ca="1">IF(O65="Y",VLOOKUP(N65,INDIRECT(P$4),4,0)*INDIRECT(N$3),VLOOKUP(N65,INDIRECT(P$4),4,0))</f>
        <v>8.9148088111680011</v>
      </c>
      <c r="R65" s="207" t="str">
        <f t="shared" si="19"/>
        <v>LDT</v>
      </c>
      <c r="S65" s="208" t="str">
        <f t="shared" si="19"/>
        <v>Y</v>
      </c>
      <c r="T65" s="207" t="str">
        <f t="shared" si="19"/>
        <v>Perfm 3 Stagehands/1.5/</v>
      </c>
      <c r="U65" s="209"/>
      <c r="V65" s="210">
        <f t="shared" ca="1" si="20"/>
        <v>8.9149999999999991</v>
      </c>
      <c r="W65" s="235"/>
    </row>
    <row r="66" spans="1:23" s="86" customFormat="1" x14ac:dyDescent="0.45">
      <c r="A66" s="89"/>
      <c r="B66" s="101"/>
      <c r="C66" s="107"/>
      <c r="D66" s="107"/>
      <c r="E66" s="84"/>
      <c r="F66" s="84"/>
      <c r="G66" s="84"/>
      <c r="H66" s="84"/>
      <c r="I66" s="84"/>
      <c r="J66" s="84"/>
      <c r="K66" s="84"/>
      <c r="L66" s="84"/>
      <c r="M66" s="84"/>
      <c r="N66" s="202" t="s">
        <v>164</v>
      </c>
      <c r="O66" s="203" t="s">
        <v>192</v>
      </c>
      <c r="P66" s="202" t="s">
        <v>165</v>
      </c>
      <c r="Q66" s="194" cm="1">
        <f t="array" aca="1" ref="Q66" ca="1">IF(O66="Y",VLOOKUP(N66,INDIRECT(P$4),4,0)*INDIRECT(N$3),VLOOKUP(N66,INDIRECT(P$4),4,0))</f>
        <v>18.806316947496001</v>
      </c>
      <c r="R66" s="207" t="str">
        <f t="shared" si="19"/>
        <v>RTD</v>
      </c>
      <c r="S66" s="208" t="str">
        <f t="shared" si="19"/>
        <v>Y</v>
      </c>
      <c r="T66" s="207" t="str">
        <f t="shared" si="19"/>
        <v>L13 Tmp Rig Prm Dbl Hrs/</v>
      </c>
      <c r="U66" s="209"/>
      <c r="V66" s="210">
        <f t="shared" ca="1" si="20"/>
        <v>18.806000000000001</v>
      </c>
      <c r="W66" s="235"/>
    </row>
    <row r="67" spans="1:23" s="86" customFormat="1" x14ac:dyDescent="0.45">
      <c r="A67" s="99"/>
      <c r="B67" s="83"/>
      <c r="C67" s="83"/>
      <c r="D67" s="84"/>
      <c r="E67" s="84"/>
      <c r="F67" s="84"/>
      <c r="G67" s="84"/>
      <c r="H67" s="84"/>
      <c r="I67" s="84"/>
      <c r="J67" s="84"/>
      <c r="K67" s="84"/>
      <c r="L67" s="84"/>
      <c r="M67" s="84"/>
      <c r="N67" s="202" t="s">
        <v>166</v>
      </c>
      <c r="O67" s="203" t="s">
        <v>192</v>
      </c>
      <c r="P67" s="202" t="s">
        <v>167</v>
      </c>
      <c r="Q67" s="194" cm="1">
        <f t="array" aca="1" ref="Q67" ca="1">IF(O67="Y",VLOOKUP(N67,INDIRECT(P$4),4,0)*INDIRECT(N$3),VLOOKUP(N67,INDIRECT(P$4),4,0))</f>
        <v>18.806316947496001</v>
      </c>
      <c r="R67" s="207" t="str">
        <f t="shared" si="19"/>
        <v>RTG</v>
      </c>
      <c r="S67" s="208" t="str">
        <f t="shared" si="19"/>
        <v>Y</v>
      </c>
      <c r="T67" s="207" t="str">
        <f t="shared" si="19"/>
        <v>L13 Tmp Rig Prm Reg Hrs/</v>
      </c>
      <c r="U67" s="209"/>
      <c r="V67" s="210">
        <f t="shared" ca="1" si="20"/>
        <v>18.806000000000001</v>
      </c>
      <c r="W67" s="235"/>
    </row>
    <row r="68" spans="1:23" s="86" customFormat="1" x14ac:dyDescent="0.45">
      <c r="A68" s="84"/>
      <c r="B68" s="84"/>
      <c r="C68" s="84"/>
      <c r="D68" s="84"/>
      <c r="E68" s="84"/>
      <c r="F68" s="84"/>
      <c r="G68" s="84"/>
      <c r="H68" s="84"/>
      <c r="I68" s="84"/>
      <c r="J68" s="84"/>
      <c r="K68" s="84"/>
      <c r="L68" s="84"/>
      <c r="M68" s="84"/>
      <c r="N68" s="202" t="s">
        <v>168</v>
      </c>
      <c r="O68" s="203" t="s">
        <v>192</v>
      </c>
      <c r="P68" s="202" t="s">
        <v>169</v>
      </c>
      <c r="Q68" s="194" cm="1">
        <f t="array" aca="1" ref="Q68" ca="1">IF(O68="Y",VLOOKUP(N68,INDIRECT(P$4),4,0)*INDIRECT(N$3),VLOOKUP(N68,INDIRECT(P$4),4,0))</f>
        <v>18.806316947496001</v>
      </c>
      <c r="R68" s="207" t="str">
        <f t="shared" si="19"/>
        <v>RTT</v>
      </c>
      <c r="S68" s="208" t="str">
        <f t="shared" si="19"/>
        <v>Y</v>
      </c>
      <c r="T68" s="207" t="str">
        <f t="shared" si="19"/>
        <v>L13Tmp Rig Pm 1 1/2 Hrs/</v>
      </c>
      <c r="U68" s="209"/>
      <c r="V68" s="210">
        <f t="shared" ca="1" si="20"/>
        <v>18.806000000000001</v>
      </c>
      <c r="W68" s="235"/>
    </row>
    <row r="69" spans="1:23" s="86" customFormat="1" x14ac:dyDescent="0.45">
      <c r="A69" s="84"/>
      <c r="B69" s="84"/>
      <c r="C69" s="84"/>
      <c r="D69" s="84"/>
      <c r="E69" s="84"/>
      <c r="F69" s="84"/>
      <c r="G69" s="84"/>
      <c r="H69" s="84"/>
      <c r="I69" s="84"/>
      <c r="J69" s="84"/>
      <c r="K69" s="84"/>
      <c r="L69" s="84"/>
      <c r="M69" s="84"/>
      <c r="N69" s="202" t="s">
        <v>170</v>
      </c>
      <c r="O69" s="203" t="s">
        <v>192</v>
      </c>
      <c r="P69" s="202" t="s">
        <v>171</v>
      </c>
      <c r="Q69" s="194" cm="1">
        <f t="array" aca="1" ref="Q69" ca="1">IF(O69="Y",VLOOKUP(N69,INDIRECT(P$4),4,0)*INDIRECT(N$3),VLOOKUP(N69,INDIRECT(P$4),4,0))</f>
        <v>7.5657071702159975</v>
      </c>
      <c r="R69" s="207" t="str">
        <f t="shared" si="19"/>
        <v>SPD</v>
      </c>
      <c r="S69" s="208" t="str">
        <f t="shared" si="19"/>
        <v>Y</v>
      </c>
      <c r="T69" s="207" t="str">
        <f t="shared" si="19"/>
        <v>Perfm 2 Stagehands/Dbl/</v>
      </c>
      <c r="U69" s="209"/>
      <c r="V69" s="210">
        <f t="shared" ca="1" si="20"/>
        <v>7.5659999999999998</v>
      </c>
      <c r="W69" s="235"/>
    </row>
    <row r="70" spans="1:23" s="86" customFormat="1" x14ac:dyDescent="0.45">
      <c r="A70" s="84"/>
      <c r="B70" s="84"/>
      <c r="C70" s="84"/>
      <c r="D70" s="84"/>
      <c r="E70" s="84"/>
      <c r="F70" s="84"/>
      <c r="G70" s="84"/>
      <c r="H70" s="84"/>
      <c r="I70" s="84"/>
      <c r="J70" s="84"/>
      <c r="K70" s="84"/>
      <c r="L70" s="84"/>
      <c r="M70" s="84"/>
      <c r="N70" s="202" t="s">
        <v>172</v>
      </c>
      <c r="O70" s="203" t="s">
        <v>192</v>
      </c>
      <c r="P70" s="202" t="s">
        <v>173</v>
      </c>
      <c r="Q70" s="194" cm="1">
        <f t="array" aca="1" ref="Q70" ca="1">IF(O70="Y",VLOOKUP(N70,INDIRECT(P$4),4,0)*INDIRECT(N$3),VLOOKUP(N70,INDIRECT(P$4),4,0))</f>
        <v>7.5657071702159975</v>
      </c>
      <c r="R70" s="207" t="str">
        <f t="shared" si="19"/>
        <v>SPR</v>
      </c>
      <c r="S70" s="208" t="str">
        <f t="shared" si="19"/>
        <v>Y</v>
      </c>
      <c r="T70" s="207" t="str">
        <f t="shared" si="19"/>
        <v>Perfm 2 Stagehands/</v>
      </c>
      <c r="U70" s="209"/>
      <c r="V70" s="210">
        <f t="shared" ca="1" si="20"/>
        <v>7.5659999999999998</v>
      </c>
      <c r="W70" s="235"/>
    </row>
    <row r="71" spans="1:23" s="86" customFormat="1" x14ac:dyDescent="0.45">
      <c r="A71" s="84"/>
      <c r="B71" s="84"/>
      <c r="C71" s="84"/>
      <c r="D71" s="84"/>
      <c r="E71" s="84"/>
      <c r="F71" s="84"/>
      <c r="G71" s="84"/>
      <c r="H71" s="84"/>
      <c r="I71" s="84"/>
      <c r="J71" s="84"/>
      <c r="K71" s="84"/>
      <c r="L71" s="84"/>
      <c r="M71" s="84"/>
      <c r="N71" s="202" t="s">
        <v>174</v>
      </c>
      <c r="O71" s="203" t="s">
        <v>192</v>
      </c>
      <c r="P71" s="202" t="s">
        <v>175</v>
      </c>
      <c r="Q71" s="194" cm="1">
        <f t="array" aca="1" ref="Q71" ca="1">IF(O71="Y",VLOOKUP(N71,INDIRECT(P$4),4,0)*INDIRECT(N$3),VLOOKUP(N71,INDIRECT(P$4),4,0))</f>
        <v>7.5657071702159975</v>
      </c>
      <c r="R71" s="207" t="str">
        <f t="shared" si="19"/>
        <v>SPT</v>
      </c>
      <c r="S71" s="208" t="str">
        <f t="shared" si="19"/>
        <v>Y</v>
      </c>
      <c r="T71" s="207" t="str">
        <f t="shared" si="19"/>
        <v>Perfm 2 Stagehands/1.5/</v>
      </c>
      <c r="U71" s="209"/>
      <c r="V71" s="210">
        <f t="shared" ca="1" si="20"/>
        <v>7.5659999999999998</v>
      </c>
      <c r="W71" s="235"/>
    </row>
    <row r="72" spans="1:23" s="86" customFormat="1" x14ac:dyDescent="0.45">
      <c r="A72" s="84"/>
      <c r="B72" s="84"/>
      <c r="C72" s="84"/>
      <c r="D72" s="84"/>
      <c r="E72" s="84"/>
      <c r="F72" s="84"/>
      <c r="G72" s="84"/>
      <c r="H72" s="84"/>
      <c r="I72" s="84"/>
      <c r="J72" s="84"/>
      <c r="K72" s="84"/>
      <c r="L72" s="84"/>
      <c r="M72" s="84"/>
      <c r="N72" s="202" t="s">
        <v>176</v>
      </c>
      <c r="O72" s="203" t="s">
        <v>192</v>
      </c>
      <c r="P72" s="202" t="s">
        <v>177</v>
      </c>
      <c r="Q72" s="194" cm="1">
        <f t="array" aca="1" ref="Q72" ca="1">IF(O72="Y",VLOOKUP(N72,INDIRECT(P$4),4,0)*INDIRECT(N$3),VLOOKUP(N72,INDIRECT(P$4),4,0))</f>
        <v>2.0562091056000007</v>
      </c>
      <c r="R72" s="207" t="str">
        <f t="shared" si="19"/>
        <v>STD</v>
      </c>
      <c r="S72" s="208" t="str">
        <f t="shared" si="19"/>
        <v>Y</v>
      </c>
      <c r="T72" s="207" t="str">
        <f t="shared" si="19"/>
        <v>Perfm 1 Stagehands/Dbl</v>
      </c>
      <c r="U72" s="209"/>
      <c r="V72" s="210">
        <f t="shared" ca="1" si="20"/>
        <v>2.056</v>
      </c>
      <c r="W72" s="235"/>
    </row>
    <row r="73" spans="1:23" s="86" customFormat="1" x14ac:dyDescent="0.45">
      <c r="A73" s="84"/>
      <c r="B73" s="84"/>
      <c r="C73" s="84"/>
      <c r="D73" s="84"/>
      <c r="E73" s="84"/>
      <c r="F73" s="84"/>
      <c r="G73" s="84"/>
      <c r="H73" s="84"/>
      <c r="I73" s="84"/>
      <c r="J73" s="84"/>
      <c r="K73" s="84"/>
      <c r="L73" s="84"/>
      <c r="M73" s="84"/>
      <c r="N73" s="202" t="s">
        <v>178</v>
      </c>
      <c r="O73" s="203" t="s">
        <v>192</v>
      </c>
      <c r="P73" s="202" t="s">
        <v>179</v>
      </c>
      <c r="Q73" s="194" cm="1">
        <f t="array" aca="1" ref="Q73" ca="1">IF(O73="Y",VLOOKUP(N73,INDIRECT(P$4),4,0)*INDIRECT(N$3),VLOOKUP(N73,INDIRECT(P$4),4,0))</f>
        <v>2.0562091056000007</v>
      </c>
      <c r="R73" s="207" t="str">
        <f t="shared" si="19"/>
        <v>STG</v>
      </c>
      <c r="S73" s="208" t="str">
        <f t="shared" si="19"/>
        <v>Y</v>
      </c>
      <c r="T73" s="207" t="str">
        <f t="shared" si="19"/>
        <v>Perfm 1 Stagehands</v>
      </c>
      <c r="U73" s="209"/>
      <c r="V73" s="210">
        <f t="shared" ca="1" si="20"/>
        <v>2.056</v>
      </c>
      <c r="W73" s="235"/>
    </row>
    <row r="74" spans="1:23" s="86" customFormat="1" x14ac:dyDescent="0.45">
      <c r="A74" s="84"/>
      <c r="B74" s="84"/>
      <c r="C74" s="84"/>
      <c r="D74" s="84"/>
      <c r="E74" s="84"/>
      <c r="F74" s="84"/>
      <c r="G74" s="84"/>
      <c r="H74" s="84"/>
      <c r="I74" s="84"/>
      <c r="J74" s="84"/>
      <c r="K74" s="84"/>
      <c r="L74" s="84"/>
      <c r="M74" s="84"/>
      <c r="N74" s="202" t="s">
        <v>180</v>
      </c>
      <c r="O74" s="203" t="s">
        <v>192</v>
      </c>
      <c r="P74" s="202" t="s">
        <v>181</v>
      </c>
      <c r="Q74" s="194" cm="1">
        <f t="array" aca="1" ref="Q74" ca="1">IF(O74="Y",VLOOKUP(N74,INDIRECT(P$4),4,0)*INDIRECT(N$3),VLOOKUP(N74,INDIRECT(P$4),4,0))</f>
        <v>2.0562091056000007</v>
      </c>
      <c r="R74" s="207" t="str">
        <f t="shared" si="19"/>
        <v>STT</v>
      </c>
      <c r="S74" s="208" t="str">
        <f t="shared" si="19"/>
        <v>Y</v>
      </c>
      <c r="T74" s="207" t="str">
        <f t="shared" si="19"/>
        <v>Perfm 1 Stagehands/1.5</v>
      </c>
      <c r="U74" s="209"/>
      <c r="V74" s="210">
        <f t="shared" ca="1" si="20"/>
        <v>2.056</v>
      </c>
      <c r="W74" s="235"/>
    </row>
    <row r="75" spans="1:23" s="86" customFormat="1" x14ac:dyDescent="0.45">
      <c r="A75" s="84"/>
      <c r="B75" s="84"/>
      <c r="C75" s="84"/>
      <c r="D75" s="84"/>
      <c r="E75" s="84"/>
      <c r="F75" s="84"/>
      <c r="G75" s="84"/>
      <c r="H75" s="84"/>
      <c r="I75" s="84"/>
      <c r="J75" s="84"/>
      <c r="K75" s="84"/>
      <c r="L75" s="84"/>
      <c r="M75" s="84"/>
      <c r="N75" s="187" t="s">
        <v>204</v>
      </c>
      <c r="O75" s="188" t="s">
        <v>192</v>
      </c>
      <c r="P75" s="184" t="s">
        <v>205</v>
      </c>
      <c r="Q75" s="194" cm="1">
        <f t="array" aca="1" ref="Q75" ca="1">IF(O75="Y",VLOOKUP(N75,INDIRECT(P$4),4,0)*INDIRECT(N$3),VLOOKUP(N75,INDIRECT(P$4),4,0))</f>
        <v>21.046196147496001</v>
      </c>
      <c r="R75" s="207" t="str">
        <f t="shared" si="19"/>
        <v>LRR</v>
      </c>
      <c r="S75" s="208" t="str">
        <f t="shared" si="19"/>
        <v>Y</v>
      </c>
      <c r="T75" s="207" t="str">
        <f t="shared" si="19"/>
        <v>ETCP Lead Rigger- temp</v>
      </c>
      <c r="U75" s="209"/>
      <c r="V75" s="210">
        <f t="shared" ca="1" si="20"/>
        <v>21.045999999999999</v>
      </c>
      <c r="W75" s="235"/>
    </row>
    <row r="76" spans="1:23" s="86" customFormat="1" x14ac:dyDescent="0.45">
      <c r="A76" s="84"/>
      <c r="B76" s="84"/>
      <c r="C76" s="84"/>
      <c r="D76" s="84"/>
      <c r="E76" s="84"/>
      <c r="F76" s="84"/>
      <c r="G76" s="84"/>
      <c r="H76" s="84"/>
      <c r="I76" s="84"/>
      <c r="J76" s="84"/>
      <c r="K76" s="84"/>
      <c r="L76" s="84"/>
      <c r="M76" s="84"/>
      <c r="N76" s="187" t="s">
        <v>206</v>
      </c>
      <c r="O76" s="188" t="s">
        <v>192</v>
      </c>
      <c r="P76" s="184" t="s">
        <v>207</v>
      </c>
      <c r="Q76" s="194" cm="1">
        <f t="array" aca="1" ref="Q76" ca="1">IF(O76="Y",VLOOKUP(N76,INDIRECT(P$4),4,0)*INDIRECT(N$3),VLOOKUP(N76,INDIRECT(P$4),4,0))</f>
        <v>21.046196147496001</v>
      </c>
      <c r="R76" s="207" t="str">
        <f t="shared" si="19"/>
        <v>LRT</v>
      </c>
      <c r="S76" s="208" t="str">
        <f t="shared" si="19"/>
        <v>Y</v>
      </c>
      <c r="T76" s="207" t="str">
        <f t="shared" si="19"/>
        <v>ETCP Lead Rigger- 1.5</v>
      </c>
      <c r="U76" s="209"/>
      <c r="V76" s="210">
        <f t="shared" ca="1" si="20"/>
        <v>21.045999999999999</v>
      </c>
      <c r="W76" s="235"/>
    </row>
    <row r="77" spans="1:23" s="86" customFormat="1" x14ac:dyDescent="0.45">
      <c r="A77" s="84"/>
      <c r="B77" s="84"/>
      <c r="C77" s="84"/>
      <c r="D77" s="84"/>
      <c r="E77" s="84"/>
      <c r="F77" s="84"/>
      <c r="G77" s="84"/>
      <c r="H77" s="84"/>
      <c r="I77" s="84"/>
      <c r="J77" s="84"/>
      <c r="K77" s="84"/>
      <c r="L77" s="84"/>
      <c r="M77" s="84"/>
      <c r="N77" s="187" t="s">
        <v>208</v>
      </c>
      <c r="O77" s="188" t="s">
        <v>192</v>
      </c>
      <c r="P77" s="184" t="s">
        <v>209</v>
      </c>
      <c r="Q77" s="194" cm="1">
        <f t="array" aca="1" ref="Q77" ca="1">IF(O77="Y",VLOOKUP(N77,INDIRECT(P$4),4,0)*INDIRECT(N$3),VLOOKUP(N77,INDIRECT(P$4),4,0))</f>
        <v>21.046196147496001</v>
      </c>
      <c r="R77" s="207" t="str">
        <f t="shared" si="19"/>
        <v>LRD</v>
      </c>
      <c r="S77" s="208" t="str">
        <f t="shared" si="19"/>
        <v>Y</v>
      </c>
      <c r="T77" s="207" t="str">
        <f t="shared" si="19"/>
        <v>ETCP Lead Rigger@2</v>
      </c>
      <c r="U77" s="209"/>
      <c r="V77" s="210">
        <f t="shared" ca="1" si="20"/>
        <v>21.045999999999999</v>
      </c>
      <c r="W77" s="235"/>
    </row>
  </sheetData>
  <sheetProtection sheet="1" objects="1" scenarios="1"/>
  <mergeCells count="3">
    <mergeCell ref="A47:J47"/>
    <mergeCell ref="A55:J55"/>
    <mergeCell ref="A59:J59"/>
  </mergeCells>
  <pageMargins left="0.28999999999999998" right="0" top="0.34" bottom="0.25" header="0.19" footer="0.26"/>
  <pageSetup orientation="landscape" r:id="rId1"/>
  <headerFooter alignWithMargins="0">
    <oddFooter>&amp;L&amp;8Last Updated:  &amp;D&amp;R&amp;8Page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9FE-BB07-4038-AC88-1D86E21205C1}">
  <dimension ref="A1:VX77"/>
  <sheetViews>
    <sheetView showGridLines="0" topLeftCell="A25" workbookViewId="0">
      <selection activeCell="C38" sqref="C38:D43"/>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customWidth="1"/>
    <col min="13" max="13" width="5.59765625" style="84" customWidth="1"/>
    <col min="14" max="14" width="13.265625" style="187" hidden="1" customWidth="1"/>
    <col min="15" max="15" width="13.265625" style="188" hidden="1" customWidth="1"/>
    <col min="16" max="16" width="27.3984375" style="184" hidden="1" customWidth="1"/>
    <col min="17" max="17" width="15.86328125" style="185" hidden="1" customWidth="1"/>
    <col min="18" max="18" width="13.265625" style="132" hidden="1" customWidth="1"/>
    <col min="19" max="19" width="7.59765625" style="204" hidden="1" customWidth="1"/>
    <col min="20" max="20" width="22" style="132" hidden="1" customWidth="1"/>
    <col min="21" max="21" width="9.3984375" style="204" hidden="1" customWidth="1"/>
    <col min="22" max="22" width="7.59765625" style="132" hidden="1" customWidth="1"/>
    <col min="23" max="23" width="0.1328125" style="86" customWidth="1"/>
    <col min="24" max="24" width="9.3984375" style="86" customWidth="1"/>
    <col min="25" max="26" width="5.59765625" style="86"/>
    <col min="27" max="16384" width="5.59765625" style="84"/>
  </cols>
  <sheetData>
    <row r="1" spans="1:26" s="224" customFormat="1" ht="15.75" x14ac:dyDescent="0.5">
      <c r="A1" s="232" t="s">
        <v>182</v>
      </c>
      <c r="N1" s="225"/>
      <c r="O1" s="226"/>
      <c r="P1" s="227"/>
      <c r="Q1" s="228"/>
      <c r="R1" s="229"/>
      <c r="S1" s="230"/>
      <c r="T1" s="229"/>
      <c r="U1" s="230"/>
      <c r="V1" s="229"/>
      <c r="W1" s="231"/>
      <c r="X1" s="231"/>
      <c r="Y1" s="231"/>
      <c r="Z1" s="231"/>
    </row>
    <row r="2" spans="1:26" s="86" customFormat="1" ht="15.75" x14ac:dyDescent="0.5">
      <c r="A2" s="82" t="s">
        <v>26</v>
      </c>
      <c r="B2" s="83"/>
      <c r="C2" s="83"/>
      <c r="D2" s="84"/>
      <c r="E2" s="84"/>
      <c r="F2" s="84"/>
      <c r="G2" s="85" t="s">
        <v>27</v>
      </c>
      <c r="H2" s="83"/>
      <c r="I2" s="84"/>
      <c r="J2" s="84"/>
      <c r="K2" s="84"/>
      <c r="M2" s="84"/>
      <c r="N2" s="184" t="s">
        <v>242</v>
      </c>
      <c r="O2" s="185"/>
      <c r="P2" s="186">
        <v>1.03</v>
      </c>
      <c r="Q2" s="185"/>
      <c r="R2" s="132"/>
      <c r="S2" s="204"/>
      <c r="T2" s="132"/>
      <c r="U2" s="204"/>
      <c r="V2" s="132"/>
    </row>
    <row r="3" spans="1:26" s="86" customFormat="1" x14ac:dyDescent="0.45">
      <c r="A3" s="88" t="s">
        <v>28</v>
      </c>
      <c r="B3" s="83"/>
      <c r="C3" s="83"/>
      <c r="D3" s="84"/>
      <c r="E3" s="84"/>
      <c r="F3" s="84"/>
      <c r="G3" s="84"/>
      <c r="H3" s="83"/>
      <c r="I3" s="84"/>
      <c r="J3" s="84"/>
      <c r="K3" s="84"/>
      <c r="L3" s="84"/>
      <c r="M3" s="84"/>
      <c r="N3" s="184" t="s">
        <v>243</v>
      </c>
      <c r="O3" s="201"/>
      <c r="P3" s="211">
        <v>1.03</v>
      </c>
      <c r="Q3" s="185"/>
      <c r="R3" s="132"/>
      <c r="S3" s="204"/>
      <c r="T3" s="132"/>
      <c r="U3" s="204"/>
      <c r="V3" s="132"/>
    </row>
    <row r="4" spans="1:26" s="86" customFormat="1" x14ac:dyDescent="0.45">
      <c r="A4" s="89" t="s">
        <v>244</v>
      </c>
      <c r="B4" s="83"/>
      <c r="C4" s="83"/>
      <c r="D4" s="84"/>
      <c r="E4" s="84"/>
      <c r="F4" s="84"/>
      <c r="G4" s="84"/>
      <c r="H4" s="83"/>
      <c r="I4" s="84"/>
      <c r="J4" s="84"/>
      <c r="K4" s="84"/>
      <c r="L4" s="84"/>
      <c r="M4" s="84"/>
      <c r="N4" s="187" t="s">
        <v>186</v>
      </c>
      <c r="O4" s="188"/>
      <c r="P4" s="184" t="s">
        <v>237</v>
      </c>
      <c r="Q4" s="185"/>
      <c r="R4" s="132"/>
      <c r="S4" s="204"/>
      <c r="T4" s="132"/>
      <c r="U4" s="204"/>
      <c r="V4" s="132"/>
    </row>
    <row r="5" spans="1:26" s="86" customFormat="1" x14ac:dyDescent="0.45">
      <c r="A5" s="222" t="s">
        <v>232</v>
      </c>
      <c r="B5" s="83"/>
      <c r="C5" s="83"/>
      <c r="D5" s="84"/>
      <c r="E5" s="84"/>
      <c r="F5" s="84"/>
      <c r="G5" s="84"/>
      <c r="H5" s="83"/>
      <c r="I5" s="84"/>
      <c r="J5" s="84"/>
      <c r="K5" s="84"/>
      <c r="L5" s="84"/>
      <c r="M5" s="84"/>
      <c r="N5" s="187"/>
      <c r="O5" s="188"/>
      <c r="P5" s="184"/>
      <c r="Q5" s="185"/>
      <c r="R5" s="132"/>
      <c r="S5" s="204"/>
      <c r="T5" s="132"/>
      <c r="U5" s="204"/>
      <c r="V5" s="132"/>
    </row>
    <row r="6" spans="1:26" s="86" customFormat="1" x14ac:dyDescent="0.45">
      <c r="A6" s="221"/>
      <c r="B6" s="83"/>
      <c r="C6" s="83"/>
      <c r="D6" s="84"/>
      <c r="E6" s="84"/>
      <c r="F6" s="84"/>
      <c r="G6" s="84"/>
      <c r="H6" s="83"/>
      <c r="I6" s="84"/>
      <c r="J6" s="84"/>
      <c r="K6" s="84"/>
      <c r="L6" s="84"/>
      <c r="M6" s="84"/>
      <c r="N6" s="187"/>
      <c r="O6" s="188"/>
      <c r="P6" s="184"/>
      <c r="Q6" s="185"/>
      <c r="R6" s="132"/>
      <c r="S6" s="204"/>
      <c r="T6" s="132"/>
      <c r="U6" s="204"/>
      <c r="V6" s="132"/>
    </row>
    <row r="7" spans="1:26" s="86" customFormat="1" x14ac:dyDescent="0.45">
      <c r="A7" s="88" t="s">
        <v>233</v>
      </c>
      <c r="B7" s="83"/>
      <c r="C7" s="83"/>
      <c r="D7" s="84"/>
      <c r="E7" s="84"/>
      <c r="F7" s="84"/>
      <c r="G7" s="84"/>
      <c r="H7" s="83"/>
      <c r="I7" s="84"/>
      <c r="J7" s="84"/>
      <c r="K7" s="84"/>
      <c r="L7" s="84"/>
      <c r="M7" s="84"/>
      <c r="N7" s="187"/>
      <c r="O7" s="188"/>
      <c r="P7" s="184"/>
      <c r="Q7" s="185"/>
      <c r="R7" s="132"/>
      <c r="S7" s="204"/>
      <c r="T7" s="132"/>
      <c r="U7" s="204"/>
      <c r="V7" s="132"/>
    </row>
    <row r="8" spans="1:26" s="86" customFormat="1" ht="62.65" x14ac:dyDescent="0.45">
      <c r="A8" s="90" t="s">
        <v>31</v>
      </c>
      <c r="B8" s="91" t="s">
        <v>101</v>
      </c>
      <c r="C8" s="92" t="s">
        <v>102</v>
      </c>
      <c r="D8" s="91" t="s">
        <v>103</v>
      </c>
      <c r="E8" s="93" t="s">
        <v>12</v>
      </c>
      <c r="F8" s="93" t="s">
        <v>32</v>
      </c>
      <c r="G8" s="90" t="s">
        <v>104</v>
      </c>
      <c r="H8" s="90" t="s">
        <v>105</v>
      </c>
      <c r="I8" s="94"/>
      <c r="J8" s="94"/>
      <c r="K8" s="84"/>
      <c r="L8" s="84"/>
      <c r="M8" s="84"/>
      <c r="N8" s="189" t="s">
        <v>3</v>
      </c>
      <c r="O8" s="190" t="s">
        <v>190</v>
      </c>
      <c r="P8" s="191" t="s">
        <v>6</v>
      </c>
      <c r="Q8" s="192" t="s">
        <v>155</v>
      </c>
      <c r="R8" s="172" t="s">
        <v>3</v>
      </c>
      <c r="S8" s="179" t="s">
        <v>190</v>
      </c>
      <c r="T8" s="172" t="s">
        <v>191</v>
      </c>
      <c r="U8" s="176" t="s">
        <v>6</v>
      </c>
      <c r="V8" s="176" t="s">
        <v>155</v>
      </c>
    </row>
    <row r="9" spans="1:26" s="86" customFormat="1" x14ac:dyDescent="0.45">
      <c r="A9" s="83" t="s">
        <v>39</v>
      </c>
      <c r="B9" s="83" t="s">
        <v>19</v>
      </c>
      <c r="C9" s="84" t="s">
        <v>41</v>
      </c>
      <c r="D9" s="83">
        <v>293</v>
      </c>
      <c r="E9" s="83">
        <v>6</v>
      </c>
      <c r="F9" s="95" t="s">
        <v>22</v>
      </c>
      <c r="G9" s="83" t="s">
        <v>42</v>
      </c>
      <c r="H9" s="96">
        <f ca="1">Q9</f>
        <v>40.668856408977206</v>
      </c>
      <c r="I9" s="84"/>
      <c r="J9" s="84"/>
      <c r="K9" s="84"/>
      <c r="L9" s="84"/>
      <c r="M9" s="84"/>
      <c r="N9" s="187" t="str">
        <f>B9</f>
        <v>08310C</v>
      </c>
      <c r="O9" s="188" t="s">
        <v>192</v>
      </c>
      <c r="P9" s="193" t="s">
        <v>40</v>
      </c>
      <c r="Q9" s="194" cm="1">
        <f t="array" aca="1" ref="Q9" ca="1">IF(O9="Y",VLOOKUP(N9,INDIRECT(P$4),4,0)*INDIRECT(N$2),VLOOKUP(N9,INDIRECT(P$4),4,0))</f>
        <v>40.668856408977206</v>
      </c>
      <c r="R9" s="133" t="str">
        <f>N9</f>
        <v>08310C</v>
      </c>
      <c r="S9" s="175" t="str">
        <f>O9</f>
        <v>Y</v>
      </c>
      <c r="T9" s="133" t="str">
        <f>C9</f>
        <v>Production Technician I</v>
      </c>
      <c r="U9" s="205" t="str">
        <f>P9</f>
        <v>CPT 01</v>
      </c>
      <c r="V9" s="135">
        <f ca="1">ROUND(Q9,3)</f>
        <v>40.668999999999997</v>
      </c>
      <c r="W9" s="241"/>
    </row>
    <row r="10" spans="1:26" s="86" customFormat="1" x14ac:dyDescent="0.45">
      <c r="A10" s="83" t="s">
        <v>39</v>
      </c>
      <c r="B10" s="83" t="s">
        <v>23</v>
      </c>
      <c r="C10" s="84" t="s">
        <v>44</v>
      </c>
      <c r="D10" s="83">
        <v>323</v>
      </c>
      <c r="E10" s="83">
        <v>7</v>
      </c>
      <c r="F10" s="95" t="s">
        <v>25</v>
      </c>
      <c r="G10" s="83" t="s">
        <v>42</v>
      </c>
      <c r="H10" s="96">
        <f ca="1">Q10</f>
        <v>45.280488862108498</v>
      </c>
      <c r="I10" s="84"/>
      <c r="J10" s="84"/>
      <c r="K10" s="84"/>
      <c r="L10" s="84"/>
      <c r="M10" s="84"/>
      <c r="N10" s="187" t="str">
        <f>B10</f>
        <v>08311C</v>
      </c>
      <c r="O10" s="188" t="s">
        <v>192</v>
      </c>
      <c r="P10" s="193" t="s">
        <v>148</v>
      </c>
      <c r="Q10" s="194" cm="1">
        <f t="array" aca="1" ref="Q10" ca="1">IF(O10="Y",VLOOKUP(N10,INDIRECT(P$4),4,0)*INDIRECT(N$2),VLOOKUP(N10,INDIRECT(P$4),4,0))</f>
        <v>45.280488862108498</v>
      </c>
      <c r="R10" s="133" t="str">
        <f t="shared" ref="R10:S10" si="0">N10</f>
        <v>08311C</v>
      </c>
      <c r="S10" s="175" t="str">
        <f t="shared" si="0"/>
        <v>Y</v>
      </c>
      <c r="T10" s="133" t="str">
        <f t="shared" ref="T10" si="1">C10</f>
        <v>Production Technician II</v>
      </c>
      <c r="U10" s="205" t="str">
        <f t="shared" ref="U10" si="2">P10</f>
        <v>CPT 02</v>
      </c>
      <c r="V10" s="135">
        <f t="shared" ref="V10" ca="1" si="3">ROUND(Q10,3)</f>
        <v>45.28</v>
      </c>
      <c r="W10" s="241"/>
    </row>
    <row r="11" spans="1:26" s="86" customFormat="1" ht="9" customHeight="1" x14ac:dyDescent="0.45">
      <c r="A11" s="84"/>
      <c r="B11" s="84"/>
      <c r="C11" s="84"/>
      <c r="D11" s="84"/>
      <c r="E11" s="84"/>
      <c r="F11" s="83"/>
      <c r="G11" s="83"/>
      <c r="H11" s="83"/>
      <c r="I11" s="96"/>
      <c r="J11" s="84"/>
      <c r="K11" s="84"/>
      <c r="L11" s="84"/>
      <c r="M11" s="84"/>
      <c r="N11" s="187"/>
      <c r="O11" s="188"/>
      <c r="P11" s="184"/>
      <c r="Q11" s="194"/>
      <c r="R11" s="133"/>
      <c r="S11" s="175"/>
      <c r="T11" s="133"/>
      <c r="U11" s="205"/>
      <c r="V11" s="135"/>
      <c r="W11" s="241"/>
    </row>
    <row r="12" spans="1:26" s="86" customFormat="1" ht="12" customHeight="1" x14ac:dyDescent="0.45">
      <c r="A12" s="88" t="s">
        <v>193</v>
      </c>
      <c r="B12" s="88"/>
      <c r="C12" s="88"/>
      <c r="E12" s="84"/>
      <c r="F12" s="83"/>
      <c r="G12" s="83" t="s">
        <v>42</v>
      </c>
      <c r="H12" s="96">
        <f ca="1">Q12</f>
        <v>15.792448723791022</v>
      </c>
      <c r="J12" s="84"/>
      <c r="K12" s="84"/>
      <c r="L12" s="84"/>
      <c r="M12" s="84"/>
      <c r="N12" s="195" t="s">
        <v>106</v>
      </c>
      <c r="O12" s="196" t="s">
        <v>192</v>
      </c>
      <c r="P12" s="197" t="s">
        <v>107</v>
      </c>
      <c r="Q12" s="194" cm="1">
        <f t="array" aca="1" ref="Q12" ca="1">IF(O12="Y",VLOOKUP(N12,INDIRECT(P$4),4,0)*INDIRECT(N$2),VLOOKUP(N12,INDIRECT(P$4),4,0))</f>
        <v>15.792448723791022</v>
      </c>
      <c r="R12" s="133" t="str">
        <f t="shared" ref="R12:S12" si="4">N12</f>
        <v>CPTPMR</v>
      </c>
      <c r="S12" s="175" t="str">
        <f t="shared" si="4"/>
        <v>Y</v>
      </c>
      <c r="T12" s="133" t="str">
        <f>P12</f>
        <v>TL-Premium Rigger-CPT</v>
      </c>
      <c r="U12" s="205"/>
      <c r="V12" s="135">
        <f t="shared" ref="V12" ca="1" si="5">ROUND(Q12,3)</f>
        <v>15.792</v>
      </c>
      <c r="W12" s="241"/>
    </row>
    <row r="13" spans="1:26" s="86" customFormat="1" ht="12" customHeight="1" x14ac:dyDescent="0.45">
      <c r="A13" s="83"/>
      <c r="B13" s="85" t="s">
        <v>194</v>
      </c>
      <c r="C13" s="83"/>
      <c r="E13" s="84"/>
      <c r="F13" s="84"/>
      <c r="G13" s="83"/>
      <c r="H13" s="97"/>
      <c r="I13" s="84"/>
      <c r="J13" s="84"/>
      <c r="K13" s="84"/>
      <c r="L13" s="84"/>
      <c r="M13" s="84"/>
      <c r="N13" s="187"/>
      <c r="O13" s="188"/>
      <c r="P13" s="184"/>
      <c r="Q13" s="185"/>
      <c r="R13" s="132"/>
      <c r="S13" s="204"/>
      <c r="T13" s="132"/>
      <c r="U13" s="204"/>
      <c r="V13" s="132"/>
      <c r="W13" s="241"/>
    </row>
    <row r="14" spans="1:26" s="86" customFormat="1" ht="12" customHeight="1" x14ac:dyDescent="0.45">
      <c r="A14" s="83"/>
      <c r="B14" s="85" t="s">
        <v>47</v>
      </c>
      <c r="C14" s="83"/>
      <c r="D14" s="85"/>
      <c r="E14" s="84"/>
      <c r="F14" s="84"/>
      <c r="G14" s="83"/>
      <c r="H14" s="97"/>
      <c r="I14" s="84"/>
      <c r="J14" s="84"/>
      <c r="K14" s="84"/>
      <c r="L14" s="84"/>
      <c r="M14" s="84"/>
      <c r="N14" s="187"/>
      <c r="O14" s="188"/>
      <c r="P14" s="184"/>
      <c r="Q14" s="185"/>
      <c r="R14" s="132"/>
      <c r="S14" s="204"/>
      <c r="T14" s="132"/>
      <c r="U14" s="204"/>
      <c r="V14" s="132"/>
      <c r="W14" s="241"/>
    </row>
    <row r="15" spans="1:26" s="86" customFormat="1" ht="12" customHeight="1" x14ac:dyDescent="0.45">
      <c r="A15" s="83"/>
      <c r="B15" s="85"/>
      <c r="C15" s="83"/>
      <c r="D15" s="85"/>
      <c r="E15" s="84"/>
      <c r="F15" s="84"/>
      <c r="G15" s="83"/>
      <c r="H15" s="97"/>
      <c r="I15" s="84"/>
      <c r="J15" s="84"/>
      <c r="K15" s="84"/>
      <c r="L15" s="84"/>
      <c r="M15" s="84"/>
      <c r="N15" s="187"/>
      <c r="O15" s="188"/>
      <c r="P15" s="184"/>
      <c r="Q15" s="185"/>
      <c r="R15" s="132"/>
      <c r="S15" s="204"/>
      <c r="T15" s="132"/>
      <c r="U15" s="204"/>
      <c r="V15" s="132"/>
      <c r="W15" s="241"/>
    </row>
    <row r="16" spans="1:26" s="86" customFormat="1" x14ac:dyDescent="0.45">
      <c r="A16" s="99" t="s">
        <v>195</v>
      </c>
      <c r="B16" s="84"/>
      <c r="C16" s="83"/>
      <c r="E16" s="84"/>
      <c r="F16" s="84"/>
      <c r="G16" s="83" t="s">
        <v>42</v>
      </c>
      <c r="H16" s="216">
        <f ca="1">Q16</f>
        <v>18.156070269791023</v>
      </c>
      <c r="I16" s="84"/>
      <c r="J16" s="84"/>
      <c r="K16" s="84"/>
      <c r="L16" s="84"/>
      <c r="M16" s="84"/>
      <c r="N16" s="187" t="s">
        <v>196</v>
      </c>
      <c r="O16" s="188" t="s">
        <v>192</v>
      </c>
      <c r="P16" s="184" t="s">
        <v>197</v>
      </c>
      <c r="Q16" s="194" cm="1">
        <f t="array" aca="1" ref="Q16" ca="1">IF(O16="Y",VLOOKUP(N16,INDIRECT(P$4),4,0)*INDIRECT(N$2),VLOOKUP(N16,INDIRECT(P$4),4,0))</f>
        <v>18.156070269791023</v>
      </c>
      <c r="R16" s="133" t="str">
        <f>N16</f>
        <v>CPTLRG</v>
      </c>
      <c r="S16" s="175" t="str">
        <f>O16</f>
        <v>Y</v>
      </c>
      <c r="T16" s="133" t="str">
        <f>P16</f>
        <v>TL-ETCP Premium Rigger-CPT</v>
      </c>
      <c r="U16" s="175"/>
      <c r="V16" s="135">
        <f ca="1">Q16</f>
        <v>18.156070269791023</v>
      </c>
      <c r="W16" s="241"/>
    </row>
    <row r="17" spans="1:23" s="86" customFormat="1" x14ac:dyDescent="0.45">
      <c r="A17" s="84"/>
      <c r="B17" s="85" t="s">
        <v>198</v>
      </c>
      <c r="C17" s="83"/>
      <c r="E17" s="84"/>
      <c r="F17" s="84"/>
      <c r="G17" s="84"/>
      <c r="H17" s="83"/>
      <c r="I17" s="84"/>
      <c r="J17" s="84"/>
      <c r="K17" s="84"/>
      <c r="L17" s="84"/>
      <c r="M17" s="84"/>
      <c r="N17" s="187"/>
      <c r="O17" s="188"/>
      <c r="P17" s="184"/>
      <c r="Q17" s="185"/>
      <c r="R17" s="132"/>
      <c r="S17" s="204"/>
      <c r="T17" s="132"/>
      <c r="U17" s="204"/>
      <c r="V17" s="132"/>
      <c r="W17" s="241"/>
    </row>
    <row r="18" spans="1:23" s="86" customFormat="1" x14ac:dyDescent="0.45">
      <c r="A18" s="84"/>
      <c r="B18" s="85" t="s">
        <v>199</v>
      </c>
      <c r="C18" s="83"/>
      <c r="D18" s="85"/>
      <c r="E18" s="84"/>
      <c r="F18" s="84"/>
      <c r="G18" s="84"/>
      <c r="H18" s="83"/>
      <c r="I18" s="84"/>
      <c r="J18" s="84"/>
      <c r="K18" s="84"/>
      <c r="L18" s="84"/>
      <c r="M18" s="84"/>
      <c r="N18" s="187"/>
      <c r="O18" s="188"/>
      <c r="P18" s="184"/>
      <c r="Q18" s="185"/>
      <c r="R18" s="132"/>
      <c r="S18" s="204"/>
      <c r="T18" s="132"/>
      <c r="U18" s="204"/>
      <c r="V18" s="132"/>
      <c r="W18" s="241"/>
    </row>
    <row r="19" spans="1:23" s="86" customFormat="1" x14ac:dyDescent="0.45">
      <c r="A19" s="84"/>
      <c r="B19" s="85"/>
      <c r="C19" s="83"/>
      <c r="D19" s="85"/>
      <c r="E19" s="84"/>
      <c r="F19" s="84"/>
      <c r="G19" s="84"/>
      <c r="H19" s="83"/>
      <c r="I19" s="84"/>
      <c r="J19" s="84"/>
      <c r="K19" s="84"/>
      <c r="L19" s="84"/>
      <c r="M19" s="84"/>
      <c r="N19" s="187"/>
      <c r="O19" s="188"/>
      <c r="P19" s="184"/>
      <c r="Q19" s="185"/>
      <c r="R19" s="132"/>
      <c r="S19" s="204"/>
      <c r="T19" s="132"/>
      <c r="U19" s="204"/>
      <c r="V19" s="132"/>
      <c r="W19" s="241"/>
    </row>
    <row r="20" spans="1:23" s="86" customFormat="1" ht="12" customHeight="1" x14ac:dyDescent="0.45">
      <c r="A20" s="99" t="s">
        <v>49</v>
      </c>
      <c r="B20" s="85"/>
      <c r="C20" s="83"/>
      <c r="D20" s="84"/>
      <c r="E20" s="84"/>
      <c r="F20" s="84"/>
      <c r="G20" s="84"/>
      <c r="H20" s="83"/>
      <c r="I20" s="84"/>
      <c r="J20" s="84"/>
      <c r="K20" s="84"/>
      <c r="L20" s="84"/>
      <c r="M20" s="84"/>
      <c r="N20" s="187"/>
      <c r="O20" s="188"/>
      <c r="P20" s="184"/>
      <c r="Q20" s="194"/>
      <c r="R20" s="132"/>
      <c r="S20" s="204"/>
      <c r="T20" s="132"/>
      <c r="U20" s="204"/>
      <c r="V20" s="132"/>
      <c r="W20" s="241"/>
    </row>
    <row r="21" spans="1:23" s="86" customFormat="1" ht="12" customHeight="1" x14ac:dyDescent="0.45">
      <c r="A21" s="100" t="str">
        <f ca="1">"A "&amp;TEXT(Q21,"$#.000")&amp;" per hour shift differential be paid for shifts that start between the hours of 5:00 p.m. and 4:00 a.m."</f>
        <v>A $2.516 per hour shift differential be paid for shifts that start between the hours of 5:00 p.m. and 4:00 a.m.</v>
      </c>
      <c r="B21" s="100"/>
      <c r="C21" s="100"/>
      <c r="D21" s="100"/>
      <c r="E21" s="100"/>
      <c r="F21" s="100"/>
      <c r="G21" s="100"/>
      <c r="H21" s="100"/>
      <c r="I21" s="100"/>
      <c r="J21" s="100"/>
      <c r="K21" s="101"/>
      <c r="L21" s="102"/>
      <c r="M21" s="84"/>
      <c r="N21" s="195" t="s">
        <v>108</v>
      </c>
      <c r="O21" s="196" t="s">
        <v>192</v>
      </c>
      <c r="P21" s="197" t="s">
        <v>109</v>
      </c>
      <c r="Q21" s="194" cm="1">
        <f t="array" aca="1" ref="Q21" ca="1">IF(O21="Y",VLOOKUP(N21,INDIRECT(P$4),4,0)*INDIRECT(N$2),VLOOKUP(N21,INDIRECT(P$4),4,0))</f>
        <v>2.5159864999090247</v>
      </c>
      <c r="R21" s="133" t="str">
        <f t="shared" ref="R21:S21" si="6">N21</f>
        <v>CPTEVE</v>
      </c>
      <c r="S21" s="175" t="str">
        <f t="shared" si="6"/>
        <v>Y</v>
      </c>
      <c r="T21" s="133" t="str">
        <f>P21</f>
        <v>TL-Evening Shift Premium-CPT</v>
      </c>
      <c r="U21" s="205"/>
      <c r="V21" s="135">
        <f t="shared" ref="V21" ca="1" si="7">ROUND(Q21,3)</f>
        <v>2.516</v>
      </c>
      <c r="W21" s="241"/>
    </row>
    <row r="22" spans="1:23" s="86" customFormat="1" ht="12" customHeight="1" x14ac:dyDescent="0.45">
      <c r="A22" s="84"/>
      <c r="B22" s="85"/>
      <c r="C22" s="96"/>
      <c r="D22" s="84"/>
      <c r="E22" s="84"/>
      <c r="F22" s="84"/>
      <c r="G22" s="84"/>
      <c r="H22" s="83"/>
      <c r="I22" s="84"/>
      <c r="J22" s="84"/>
      <c r="K22" s="101"/>
      <c r="L22" s="102"/>
      <c r="M22" s="84"/>
      <c r="N22" s="187"/>
      <c r="O22" s="188"/>
      <c r="P22" s="184"/>
      <c r="Q22" s="185"/>
      <c r="R22" s="132"/>
      <c r="S22" s="204"/>
      <c r="T22" s="132"/>
      <c r="U22" s="204"/>
      <c r="V22" s="132"/>
      <c r="W22" s="241"/>
    </row>
    <row r="23" spans="1:23" s="86" customFormat="1" x14ac:dyDescent="0.45">
      <c r="A23" s="100" t="str">
        <f ca="1">"A "&amp;TEXT(Q23,"$#.000")&amp;" per hour shift differential be paid for shifts that start between the hours of 5:00 a.m. and 6:00 a.m., "</f>
        <v xml:space="preserve">A $1.299 per hour shift differential be paid for shifts that start between the hours of 5:00 a.m. and 6:00 a.m., </v>
      </c>
      <c r="B23" s="100"/>
      <c r="C23" s="100"/>
      <c r="D23" s="100"/>
      <c r="E23" s="100"/>
      <c r="F23" s="100"/>
      <c r="G23" s="100"/>
      <c r="H23" s="100"/>
      <c r="I23" s="100"/>
      <c r="J23" s="100"/>
      <c r="K23" s="101"/>
      <c r="L23" s="102"/>
      <c r="M23" s="84"/>
      <c r="N23" s="195" t="s">
        <v>110</v>
      </c>
      <c r="O23" s="196" t="s">
        <v>192</v>
      </c>
      <c r="P23" s="197" t="s">
        <v>111</v>
      </c>
      <c r="Q23" s="194" cm="1">
        <f t="array" aca="1" ref="Q23" ca="1">IF(O23="Y",VLOOKUP(N23,INDIRECT(P$4),4,0)*INDIRECT(N$2),VLOOKUP(N23,INDIRECT(P$4),4,0))</f>
        <v>1.2985736773723999</v>
      </c>
      <c r="R23" s="133" t="str">
        <f t="shared" ref="R23:T24" si="8">N23</f>
        <v>CPTAM1</v>
      </c>
      <c r="S23" s="175" t="str">
        <f t="shared" si="8"/>
        <v>Y</v>
      </c>
      <c r="T23" s="133" t="str">
        <f t="shared" si="8"/>
        <v>TL-Morning Shift Premium CPT</v>
      </c>
      <c r="U23" s="205"/>
      <c r="V23" s="135">
        <f t="shared" ref="V23:V24" ca="1" si="9">ROUND(Q23,3)</f>
        <v>1.2989999999999999</v>
      </c>
      <c r="W23" s="241"/>
    </row>
    <row r="24" spans="1:23" s="103" customFormat="1" ht="15" customHeight="1" x14ac:dyDescent="0.45">
      <c r="A24" s="103" t="s">
        <v>112</v>
      </c>
      <c r="N24" s="195" t="s">
        <v>113</v>
      </c>
      <c r="O24" s="196" t="s">
        <v>192</v>
      </c>
      <c r="P24" s="197" t="s">
        <v>107</v>
      </c>
      <c r="Q24" s="194" cm="1">
        <f t="array" aca="1" ref="Q24" ca="1">IF(O24="Y",VLOOKUP(N24,INDIRECT(P$4),4,0)*INDIRECT(N$2),VLOOKUP(N24,INDIRECT(P$4),4,0))</f>
        <v>1.2985736773723999</v>
      </c>
      <c r="R24" s="133" t="str">
        <f t="shared" si="8"/>
        <v>CPTNIT</v>
      </c>
      <c r="S24" s="175" t="str">
        <f t="shared" si="8"/>
        <v>Y</v>
      </c>
      <c r="T24" s="133" t="str">
        <f t="shared" si="8"/>
        <v>TL-Premium Rigger-CPT</v>
      </c>
      <c r="U24" s="205"/>
      <c r="V24" s="135">
        <f t="shared" ca="1" si="9"/>
        <v>1.2989999999999999</v>
      </c>
      <c r="W24" s="241"/>
    </row>
    <row r="25" spans="1:23" s="103" customFormat="1" ht="15" customHeight="1" x14ac:dyDescent="0.45">
      <c r="N25" s="184"/>
      <c r="O25" s="185"/>
      <c r="P25" s="184"/>
      <c r="Q25" s="185"/>
      <c r="R25" s="133"/>
      <c r="S25" s="175"/>
      <c r="T25" s="133"/>
      <c r="U25" s="175"/>
      <c r="V25" s="133"/>
      <c r="W25" s="241"/>
    </row>
    <row r="26" spans="1:23" s="86" customFormat="1" ht="12" customHeight="1" x14ac:dyDescent="0.45">
      <c r="A26" s="99" t="s">
        <v>85</v>
      </c>
      <c r="B26" s="84"/>
      <c r="C26" s="96"/>
      <c r="D26" s="84"/>
      <c r="E26" s="84"/>
      <c r="F26" s="84"/>
      <c r="G26" s="84"/>
      <c r="H26" s="83"/>
      <c r="I26" s="84"/>
      <c r="J26" s="84"/>
      <c r="K26" s="101"/>
      <c r="L26" s="84"/>
      <c r="M26" s="84"/>
      <c r="N26" s="187"/>
      <c r="O26" s="188"/>
      <c r="P26" s="184"/>
      <c r="Q26" s="185"/>
      <c r="R26" s="132"/>
      <c r="S26" s="204"/>
      <c r="T26" s="132"/>
      <c r="U26" s="204"/>
      <c r="V26" s="132"/>
      <c r="W26" s="241"/>
    </row>
    <row r="27" spans="1:23" s="86" customFormat="1" ht="18.75" customHeight="1" x14ac:dyDescent="0.45">
      <c r="A27" s="100" t="str">
        <f ca="1">"A "&amp;TEXT(Q27,"$#.000")&amp;" per hour premium be paid for each hour worked as an employer-designated Lead Worker."</f>
        <v>A $2.122 per hour premium be paid for each hour worked as an employer-designated Lead Worker.</v>
      </c>
      <c r="B27" s="100"/>
      <c r="C27" s="100"/>
      <c r="D27" s="100"/>
      <c r="E27" s="100"/>
      <c r="F27" s="100"/>
      <c r="G27" s="100"/>
      <c r="H27" s="100"/>
      <c r="I27" s="100"/>
      <c r="J27" s="100"/>
      <c r="K27" s="101"/>
      <c r="L27" s="102"/>
      <c r="M27" s="84"/>
      <c r="N27" s="195" t="s">
        <v>114</v>
      </c>
      <c r="O27" s="196" t="s">
        <v>192</v>
      </c>
      <c r="P27" s="197" t="s">
        <v>115</v>
      </c>
      <c r="Q27" s="194" cm="1">
        <f t="array" aca="1" ref="Q27" ca="1">IF(O27="Y",VLOOKUP(N27,INDIRECT(P$4),4,0)*INDIRECT(N$2),VLOOKUP(N27,INDIRECT(P$4),4,0))</f>
        <v>2.1217999999999999</v>
      </c>
      <c r="R27" s="133" t="str">
        <f t="shared" ref="R27:S27" si="10">N27</f>
        <v>CPTLDS</v>
      </c>
      <c r="S27" s="175" t="str">
        <f t="shared" si="10"/>
        <v>Y</v>
      </c>
      <c r="T27" s="133" t="str">
        <f>P27</f>
        <v>TL-Lead Prem (Substitute)-CPT</v>
      </c>
      <c r="U27" s="205"/>
      <c r="V27" s="135">
        <f t="shared" ref="V27" ca="1" si="11">ROUND(Q27,3)</f>
        <v>2.1219999999999999</v>
      </c>
      <c r="W27" s="241"/>
    </row>
    <row r="28" spans="1:23" s="86" customFormat="1" ht="12" customHeight="1" x14ac:dyDescent="0.45">
      <c r="A28" s="85"/>
      <c r="B28" s="85"/>
      <c r="C28" s="96"/>
      <c r="D28" s="84"/>
      <c r="E28" s="84"/>
      <c r="F28" s="84"/>
      <c r="G28" s="84"/>
      <c r="H28" s="83"/>
      <c r="I28" s="84"/>
      <c r="J28" s="84"/>
      <c r="K28" s="101"/>
      <c r="L28" s="84"/>
      <c r="M28" s="84"/>
      <c r="N28" s="187"/>
      <c r="O28" s="188"/>
      <c r="P28" s="184"/>
      <c r="Q28" s="185"/>
      <c r="R28" s="132"/>
      <c r="S28" s="204"/>
      <c r="T28" s="132"/>
      <c r="U28" s="204"/>
      <c r="V28" s="132"/>
      <c r="W28" s="241"/>
    </row>
    <row r="29" spans="1:23" s="86" customFormat="1" ht="17.25" customHeight="1" x14ac:dyDescent="0.45">
      <c r="A29" s="104" t="s">
        <v>55</v>
      </c>
      <c r="B29" s="104"/>
      <c r="C29" s="104"/>
      <c r="D29" s="104"/>
      <c r="E29" s="104"/>
      <c r="F29" s="104"/>
      <c r="G29" s="104"/>
      <c r="H29" s="104"/>
      <c r="I29" s="104"/>
      <c r="J29" s="104"/>
      <c r="K29" s="101"/>
      <c r="L29" s="84"/>
      <c r="M29" s="84"/>
      <c r="N29" s="187"/>
      <c r="O29" s="188"/>
      <c r="P29" s="184"/>
      <c r="Q29" s="185"/>
      <c r="R29" s="132"/>
      <c r="S29" s="204"/>
      <c r="T29" s="132"/>
      <c r="U29" s="204"/>
      <c r="V29" s="132"/>
      <c r="W29" s="241"/>
    </row>
    <row r="30" spans="1:23" s="86" customFormat="1" ht="16.5" customHeight="1" x14ac:dyDescent="0.45">
      <c r="A30" s="100" t="s">
        <v>56</v>
      </c>
      <c r="B30" s="100"/>
      <c r="C30" s="100"/>
      <c r="D30" s="100"/>
      <c r="E30" s="100"/>
      <c r="F30" s="100"/>
      <c r="G30" s="100"/>
      <c r="H30" s="100"/>
      <c r="I30" s="100"/>
      <c r="J30" s="100"/>
      <c r="K30" s="101"/>
      <c r="L30" s="84"/>
      <c r="M30" s="84"/>
      <c r="N30" s="189" t="s">
        <v>116</v>
      </c>
      <c r="O30" s="190" t="s">
        <v>190</v>
      </c>
      <c r="P30" s="191"/>
      <c r="Q30" s="192" t="s">
        <v>155</v>
      </c>
      <c r="R30" s="172" t="s">
        <v>116</v>
      </c>
      <c r="S30" s="179" t="s">
        <v>190</v>
      </c>
      <c r="T30" s="173"/>
      <c r="U30" s="132"/>
      <c r="V30" s="176" t="s">
        <v>155</v>
      </c>
      <c r="W30" s="241"/>
    </row>
    <row r="31" spans="1:23" s="86" customFormat="1" ht="16.5" customHeight="1" x14ac:dyDescent="0.45">
      <c r="A31" s="84"/>
      <c r="B31" s="96">
        <f ca="1">Q31</f>
        <v>0.19018289864502499</v>
      </c>
      <c r="C31" s="85" t="s">
        <v>57</v>
      </c>
      <c r="D31" s="85"/>
      <c r="E31" s="85"/>
      <c r="F31" s="85"/>
      <c r="G31" s="85"/>
      <c r="H31" s="85"/>
      <c r="I31" s="85"/>
      <c r="J31" s="85"/>
      <c r="K31" s="101"/>
      <c r="L31" s="84"/>
      <c r="M31" s="84"/>
      <c r="N31" s="187" t="s">
        <v>117</v>
      </c>
      <c r="O31" s="188" t="s">
        <v>192</v>
      </c>
      <c r="P31" s="184"/>
      <c r="Q31" s="194" cm="1">
        <f t="array" aca="1" ref="Q31" ca="1">IF(O31="Y",VLOOKUP(N31,INDIRECT(P$4),4,0)*INDIRECT(N$2),VLOOKUP(N31,INDIRECT(P$4),4,0))</f>
        <v>0.19018289864502499</v>
      </c>
      <c r="R31" s="133" t="str">
        <f t="shared" ref="R31:S34" si="12">N31</f>
        <v>10th Year</v>
      </c>
      <c r="S31" s="175" t="str">
        <f t="shared" si="12"/>
        <v>Y</v>
      </c>
      <c r="T31" s="133"/>
      <c r="U31" s="205"/>
      <c r="V31" s="135">
        <f t="shared" ref="V31:V34" ca="1" si="13">ROUND(Q31,3)</f>
        <v>0.19</v>
      </c>
      <c r="W31" s="241"/>
    </row>
    <row r="32" spans="1:23" s="86" customFormat="1" ht="16.5" customHeight="1" x14ac:dyDescent="0.45">
      <c r="A32" s="84"/>
      <c r="B32" s="96">
        <f t="shared" ref="B32:B34" ca="1" si="14">Q32</f>
        <v>0.42397461481374987</v>
      </c>
      <c r="C32" s="100" t="s">
        <v>58</v>
      </c>
      <c r="D32" s="100"/>
      <c r="E32" s="100"/>
      <c r="F32" s="100"/>
      <c r="G32" s="100"/>
      <c r="H32" s="100"/>
      <c r="I32" s="100"/>
      <c r="J32" s="100"/>
      <c r="K32" s="101"/>
      <c r="L32" s="84"/>
      <c r="M32" s="84"/>
      <c r="N32" s="187" t="s">
        <v>118</v>
      </c>
      <c r="O32" s="188" t="s">
        <v>192</v>
      </c>
      <c r="P32" s="184"/>
      <c r="Q32" s="194" cm="1">
        <f t="array" aca="1" ref="Q32" ca="1">IF(O32="Y",VLOOKUP(N32,INDIRECT(P$4),4,0)*INDIRECT(N$2),VLOOKUP(N32,INDIRECT(P$4),4,0))</f>
        <v>0.42397461481374987</v>
      </c>
      <c r="R32" s="133" t="str">
        <f t="shared" si="12"/>
        <v>15th Year</v>
      </c>
      <c r="S32" s="175" t="str">
        <f t="shared" si="12"/>
        <v>Y</v>
      </c>
      <c r="T32" s="133"/>
      <c r="U32" s="205"/>
      <c r="V32" s="135">
        <f t="shared" ca="1" si="13"/>
        <v>0.42399999999999999</v>
      </c>
      <c r="W32" s="241"/>
    </row>
    <row r="33" spans="1:596" s="86" customFormat="1" ht="16.5" customHeight="1" x14ac:dyDescent="0.45">
      <c r="A33" s="84"/>
      <c r="B33" s="96">
        <f t="shared" ca="1" si="14"/>
        <v>0.51603767403044987</v>
      </c>
      <c r="C33" s="100" t="s">
        <v>59</v>
      </c>
      <c r="D33" s="100"/>
      <c r="E33" s="100"/>
      <c r="F33" s="100"/>
      <c r="G33" s="100"/>
      <c r="H33" s="100"/>
      <c r="I33" s="100"/>
      <c r="J33" s="100"/>
      <c r="K33" s="101"/>
      <c r="L33" s="84"/>
      <c r="M33" s="84"/>
      <c r="N33" s="187" t="s">
        <v>119</v>
      </c>
      <c r="O33" s="188" t="s">
        <v>192</v>
      </c>
      <c r="P33" s="184"/>
      <c r="Q33" s="194" cm="1">
        <f t="array" aca="1" ref="Q33" ca="1">IF(O33="Y",VLOOKUP(N33,INDIRECT(P$4),4,0)*INDIRECT(N$2),VLOOKUP(N33,INDIRECT(P$4),4,0))</f>
        <v>0.51603767403044987</v>
      </c>
      <c r="R33" s="133" t="str">
        <f t="shared" si="12"/>
        <v>20th Year</v>
      </c>
      <c r="S33" s="175" t="str">
        <f t="shared" si="12"/>
        <v>Y</v>
      </c>
      <c r="T33" s="133"/>
      <c r="U33" s="205"/>
      <c r="V33" s="135">
        <f t="shared" ca="1" si="13"/>
        <v>0.51600000000000001</v>
      </c>
      <c r="W33" s="241"/>
    </row>
    <row r="34" spans="1:596" s="86" customFormat="1" ht="16.5" customHeight="1" x14ac:dyDescent="0.45">
      <c r="A34" s="84"/>
      <c r="B34" s="96">
        <f t="shared" ca="1" si="14"/>
        <v>0.89882618340514975</v>
      </c>
      <c r="C34" s="100" t="s">
        <v>60</v>
      </c>
      <c r="D34" s="100"/>
      <c r="E34" s="100"/>
      <c r="F34" s="100"/>
      <c r="G34" s="100"/>
      <c r="H34" s="100"/>
      <c r="I34" s="100"/>
      <c r="J34" s="100"/>
      <c r="K34" s="101"/>
      <c r="L34" s="84"/>
      <c r="M34" s="84"/>
      <c r="N34" s="187" t="s">
        <v>120</v>
      </c>
      <c r="O34" s="188" t="s">
        <v>192</v>
      </c>
      <c r="P34" s="184"/>
      <c r="Q34" s="194" cm="1">
        <f t="array" aca="1" ref="Q34" ca="1">IF(O34="Y",VLOOKUP(N34,INDIRECT(P$4),4,0)*INDIRECT(N$2),VLOOKUP(N34,INDIRECT(P$4),4,0))</f>
        <v>0.89882618340514975</v>
      </c>
      <c r="R34" s="133" t="str">
        <f t="shared" si="12"/>
        <v>25th Year</v>
      </c>
      <c r="S34" s="175" t="str">
        <f t="shared" si="12"/>
        <v>Y</v>
      </c>
      <c r="T34" s="133"/>
      <c r="U34" s="205"/>
      <c r="V34" s="135">
        <f t="shared" ca="1" si="13"/>
        <v>0.89900000000000002</v>
      </c>
      <c r="W34" s="241"/>
    </row>
    <row r="35" spans="1:596" s="86" customFormat="1" ht="10.5" customHeight="1" thickBot="1" x14ac:dyDescent="0.5">
      <c r="A35" s="168"/>
      <c r="B35" s="169"/>
      <c r="C35" s="170"/>
      <c r="D35" s="170"/>
      <c r="E35" s="168"/>
      <c r="F35" s="168"/>
      <c r="G35" s="168"/>
      <c r="H35" s="170"/>
      <c r="I35" s="168"/>
      <c r="J35" s="168"/>
      <c r="K35" s="101"/>
      <c r="L35" s="84"/>
      <c r="M35" s="84"/>
      <c r="N35" s="187"/>
      <c r="O35" s="188"/>
      <c r="P35" s="184"/>
      <c r="Q35" s="185"/>
      <c r="R35" s="132"/>
      <c r="S35" s="204"/>
      <c r="T35" s="132"/>
      <c r="U35" s="204"/>
      <c r="V35" s="132"/>
      <c r="W35" s="241"/>
    </row>
    <row r="36" spans="1:596" s="86" customFormat="1" ht="20.25" customHeight="1" x14ac:dyDescent="0.45">
      <c r="A36" s="99" t="str">
        <f>"Group 2: (CST) Temporary Employees ("&amp;TEXT(P3-100%,"##.0%")&amp;" increase)"</f>
        <v>Group 2: (CST) Temporary Employees (3.0% increase)</v>
      </c>
      <c r="B36" s="101"/>
      <c r="C36" s="107"/>
      <c r="D36" s="107"/>
      <c r="E36" s="101"/>
      <c r="F36" s="101"/>
      <c r="G36" s="101"/>
      <c r="H36" s="107"/>
      <c r="I36" s="101"/>
      <c r="J36" s="101"/>
      <c r="K36" s="101"/>
      <c r="L36" s="84"/>
      <c r="M36" s="84"/>
      <c r="N36" s="187"/>
      <c r="O36" s="188"/>
      <c r="P36" s="184"/>
      <c r="Q36" s="185"/>
      <c r="R36" s="132"/>
      <c r="S36" s="204"/>
      <c r="T36" s="132"/>
      <c r="U36" s="204"/>
      <c r="V36" s="132"/>
      <c r="W36" s="241"/>
    </row>
    <row r="37" spans="1:596" s="86" customFormat="1" ht="62.65" x14ac:dyDescent="0.45">
      <c r="A37" s="91" t="s">
        <v>2</v>
      </c>
      <c r="B37" s="91" t="s">
        <v>101</v>
      </c>
      <c r="C37" s="92" t="s">
        <v>102</v>
      </c>
      <c r="D37" s="91" t="s">
        <v>103</v>
      </c>
      <c r="E37" s="93" t="s">
        <v>12</v>
      </c>
      <c r="F37" s="93" t="s">
        <v>32</v>
      </c>
      <c r="G37" s="90" t="s">
        <v>104</v>
      </c>
      <c r="H37" s="91" t="s">
        <v>62</v>
      </c>
      <c r="I37" s="108" t="s">
        <v>63</v>
      </c>
      <c r="J37" s="94"/>
      <c r="K37" s="109"/>
      <c r="L37" s="101"/>
      <c r="M37" s="84"/>
      <c r="N37" s="189" t="s">
        <v>3</v>
      </c>
      <c r="O37" s="190" t="s">
        <v>190</v>
      </c>
      <c r="P37" s="191" t="s">
        <v>6</v>
      </c>
      <c r="Q37" s="192" t="s">
        <v>155</v>
      </c>
      <c r="R37" s="172" t="s">
        <v>3</v>
      </c>
      <c r="S37" s="179" t="s">
        <v>190</v>
      </c>
      <c r="T37" s="173" t="s">
        <v>6</v>
      </c>
      <c r="U37" s="132"/>
      <c r="V37" s="176" t="s">
        <v>155</v>
      </c>
      <c r="W37" s="241"/>
      <c r="X37" s="113"/>
      <c r="Y37" s="114"/>
    </row>
    <row r="38" spans="1:596" s="86" customFormat="1" x14ac:dyDescent="0.45">
      <c r="A38" s="83" t="s">
        <v>39</v>
      </c>
      <c r="B38" s="83" t="s">
        <v>65</v>
      </c>
      <c r="C38" s="243" t="s">
        <v>66</v>
      </c>
      <c r="D38" s="83">
        <v>248</v>
      </c>
      <c r="E38" s="83">
        <v>5</v>
      </c>
      <c r="F38" s="95" t="s">
        <v>22</v>
      </c>
      <c r="G38" s="83" t="s">
        <v>42</v>
      </c>
      <c r="H38" s="96" t="s">
        <v>67</v>
      </c>
      <c r="I38" s="96">
        <f ca="1">Q38</f>
        <v>31.126002416627045</v>
      </c>
      <c r="J38" s="84"/>
      <c r="K38" s="84"/>
      <c r="L38" s="84"/>
      <c r="M38" s="84"/>
      <c r="N38" s="184" t="str">
        <f>B38</f>
        <v>09300C</v>
      </c>
      <c r="O38" s="185" t="s">
        <v>192</v>
      </c>
      <c r="P38" s="198" t="s">
        <v>64</v>
      </c>
      <c r="Q38" s="194" cm="1">
        <f t="array" aca="1" ref="Q38" ca="1">IF(O38="Y",VLOOKUP(N38,INDIRECT(P$4),4,0)*INDIRECT(N$3),VLOOKUP(N38,INDIRECT(P$4),4,0))</f>
        <v>31.126002416627045</v>
      </c>
      <c r="R38" s="133" t="str">
        <f t="shared" ref="R38:S41" si="15">N38</f>
        <v>09300C</v>
      </c>
      <c r="S38" s="175" t="str">
        <f t="shared" si="15"/>
        <v>Y</v>
      </c>
      <c r="T38" s="133"/>
      <c r="U38" s="205"/>
      <c r="V38" s="135">
        <f t="shared" ref="V38:V41" ca="1" si="16">ROUND(Q38,3)</f>
        <v>31.126000000000001</v>
      </c>
      <c r="W38" s="241"/>
      <c r="X38" s="120"/>
      <c r="Y38" s="119"/>
    </row>
    <row r="39" spans="1:596" s="86" customFormat="1" ht="15" customHeight="1" x14ac:dyDescent="0.45">
      <c r="A39" s="83"/>
      <c r="B39" s="83" t="s">
        <v>62</v>
      </c>
      <c r="C39" s="244" t="s">
        <v>246</v>
      </c>
      <c r="D39" s="84"/>
      <c r="E39" s="84"/>
      <c r="F39" s="84"/>
      <c r="G39" s="83" t="s">
        <v>42</v>
      </c>
      <c r="H39" s="96">
        <f ca="1">Q72</f>
        <v>2.1178953787680008</v>
      </c>
      <c r="I39" s="96">
        <f ca="1">Q39</f>
        <v>33.24389779539505</v>
      </c>
      <c r="J39" s="84"/>
      <c r="K39" s="84"/>
      <c r="L39" s="84"/>
      <c r="M39" s="84"/>
      <c r="N39" s="199" t="s">
        <v>149</v>
      </c>
      <c r="O39" s="200" t="s">
        <v>192</v>
      </c>
      <c r="P39" s="198"/>
      <c r="Q39" s="194" cm="1">
        <f t="array" aca="1" ref="Q39" ca="1">IF(O39="Y",VLOOKUP(N39,INDIRECT(P$4),4,0)*INDIRECT(N$3),VLOOKUP(N39,INDIRECT(P$4),4,0))</f>
        <v>33.24389779539505</v>
      </c>
      <c r="R39" s="133" t="str">
        <f t="shared" si="15"/>
        <v>Step 2</v>
      </c>
      <c r="S39" s="175" t="str">
        <f t="shared" si="15"/>
        <v>Y</v>
      </c>
      <c r="T39" s="133"/>
      <c r="U39" s="205"/>
      <c r="V39" s="135">
        <f t="shared" ca="1" si="16"/>
        <v>33.244</v>
      </c>
      <c r="W39" s="241"/>
      <c r="X39" s="120"/>
      <c r="Y39" s="119"/>
    </row>
    <row r="40" spans="1:596" s="86" customFormat="1" x14ac:dyDescent="0.45">
      <c r="A40" s="83"/>
      <c r="B40" s="83" t="s">
        <v>62</v>
      </c>
      <c r="C40" s="244" t="s">
        <v>247</v>
      </c>
      <c r="D40" s="84"/>
      <c r="E40" s="84"/>
      <c r="F40" s="84"/>
      <c r="G40" s="83" t="s">
        <v>42</v>
      </c>
      <c r="H40" s="96">
        <f ca="1">Q70</f>
        <v>7.7926783853224775</v>
      </c>
      <c r="I40" s="96">
        <f ca="1">Q40</f>
        <v>38.918680801949527</v>
      </c>
      <c r="J40" s="84"/>
      <c r="K40" s="84"/>
      <c r="L40" s="84"/>
      <c r="M40" s="84"/>
      <c r="N40" s="199" t="s">
        <v>150</v>
      </c>
      <c r="O40" s="200" t="s">
        <v>192</v>
      </c>
      <c r="P40" s="198"/>
      <c r="Q40" s="194" cm="1">
        <f t="array" aca="1" ref="Q40" ca="1">IF(O40="Y",VLOOKUP(N40,INDIRECT(P$4),4,0)*INDIRECT(N$3),VLOOKUP(N40,INDIRECT(P$4),4,0))</f>
        <v>38.918680801949527</v>
      </c>
      <c r="R40" s="133" t="str">
        <f t="shared" si="15"/>
        <v>Step 3</v>
      </c>
      <c r="S40" s="175" t="str">
        <f t="shared" si="15"/>
        <v>Y</v>
      </c>
      <c r="T40" s="133"/>
      <c r="U40" s="205"/>
      <c r="V40" s="135">
        <f t="shared" ca="1" si="16"/>
        <v>38.918999999999997</v>
      </c>
      <c r="W40" s="241"/>
      <c r="X40" s="125"/>
    </row>
    <row r="41" spans="1:596" s="86" customFormat="1" x14ac:dyDescent="0.45">
      <c r="A41" s="83"/>
      <c r="B41" s="83" t="s">
        <v>62</v>
      </c>
      <c r="C41" s="243" t="s">
        <v>70</v>
      </c>
      <c r="D41" s="84"/>
      <c r="E41" s="84"/>
      <c r="F41" s="84"/>
      <c r="G41" s="83" t="s">
        <v>42</v>
      </c>
      <c r="H41" s="96">
        <f ca="1">Q67</f>
        <v>19.370506455920882</v>
      </c>
      <c r="I41" s="96">
        <f ca="1">Q41</f>
        <v>50.496508872547928</v>
      </c>
      <c r="J41" s="171"/>
      <c r="K41" s="84"/>
      <c r="L41" s="84"/>
      <c r="M41" s="84"/>
      <c r="N41" s="187" t="s">
        <v>151</v>
      </c>
      <c r="O41" s="185" t="s">
        <v>192</v>
      </c>
      <c r="P41" s="198"/>
      <c r="Q41" s="194" cm="1">
        <f t="array" aca="1" ref="Q41" ca="1">IF(O41="Y",VLOOKUP(N41,INDIRECT(P$4),4,0)*INDIRECT(N$3),VLOOKUP(N41,INDIRECT(P$4),4,0))</f>
        <v>50.496508872547928</v>
      </c>
      <c r="R41" s="133" t="str">
        <f t="shared" si="15"/>
        <v>Step 4</v>
      </c>
      <c r="S41" s="175" t="str">
        <f t="shared" si="15"/>
        <v>Y</v>
      </c>
      <c r="T41" s="133"/>
      <c r="U41" s="205"/>
      <c r="V41" s="135">
        <f t="shared" ca="1" si="16"/>
        <v>50.497</v>
      </c>
      <c r="W41" s="241"/>
      <c r="X41" s="125"/>
    </row>
    <row r="42" spans="1:596" s="86" customFormat="1" x14ac:dyDescent="0.45">
      <c r="A42" s="84"/>
      <c r="B42" s="83"/>
      <c r="C42" s="245" t="s">
        <v>249</v>
      </c>
      <c r="D42" s="84"/>
      <c r="E42" s="84"/>
      <c r="F42" s="84"/>
      <c r="G42" s="84"/>
      <c r="H42" s="84"/>
      <c r="I42" s="84"/>
      <c r="J42" s="84"/>
      <c r="K42" s="84"/>
      <c r="L42" s="84"/>
      <c r="M42" s="84"/>
      <c r="N42" s="187"/>
      <c r="O42" s="185"/>
      <c r="P42" s="184"/>
      <c r="Q42" s="185"/>
      <c r="R42" s="132"/>
      <c r="S42" s="204"/>
      <c r="T42" s="132"/>
      <c r="U42" s="204"/>
      <c r="V42" s="132"/>
      <c r="W42" s="241"/>
    </row>
    <row r="43" spans="1:596" s="86" customFormat="1" x14ac:dyDescent="0.45">
      <c r="A43" s="84"/>
      <c r="B43" s="83" t="s">
        <v>62</v>
      </c>
      <c r="C43" s="244" t="s">
        <v>248</v>
      </c>
      <c r="D43" s="84"/>
      <c r="E43" s="84"/>
      <c r="F43" s="84"/>
      <c r="G43" s="83" t="s">
        <v>73</v>
      </c>
      <c r="H43" s="96">
        <f ca="1">Q64</f>
        <v>9.1822530755030414</v>
      </c>
      <c r="I43" s="96">
        <f ca="1">Q43</f>
        <v>40.308255492130094</v>
      </c>
      <c r="J43" s="84"/>
      <c r="K43" s="84"/>
      <c r="L43" s="171"/>
      <c r="M43" s="84"/>
      <c r="N43" s="187" t="s">
        <v>152</v>
      </c>
      <c r="O43" s="185" t="s">
        <v>192</v>
      </c>
      <c r="P43" s="198"/>
      <c r="Q43" s="194" cm="1">
        <f t="array" aca="1" ref="Q43" ca="1">IF(O43="Y",VLOOKUP(N43,INDIRECT(P$4),4,0)*INDIRECT(N$3),VLOOKUP(N43,INDIRECT(P$4),4,0))</f>
        <v>40.308255492130094</v>
      </c>
      <c r="R43" s="133" t="str">
        <f t="shared" ref="R43:S43" si="17">N43</f>
        <v>Step 5</v>
      </c>
      <c r="S43" s="175" t="str">
        <f t="shared" si="17"/>
        <v>Y</v>
      </c>
      <c r="T43" s="133"/>
      <c r="U43" s="205"/>
      <c r="V43" s="135">
        <f t="shared" ref="V43" ca="1" si="18">ROUND(Q43,3)</f>
        <v>40.308</v>
      </c>
      <c r="W43" s="241"/>
      <c r="X43" s="125"/>
    </row>
    <row r="44" spans="1:596" s="86" customFormat="1" x14ac:dyDescent="0.45">
      <c r="A44" s="84"/>
      <c r="B44" s="84"/>
      <c r="C44" s="83"/>
      <c r="D44" s="85"/>
      <c r="E44" s="84"/>
      <c r="F44" s="84"/>
      <c r="G44" s="83"/>
      <c r="H44" s="96"/>
      <c r="I44" s="96"/>
      <c r="J44" s="84"/>
      <c r="K44" s="84"/>
      <c r="L44" s="84"/>
      <c r="M44" s="84"/>
      <c r="N44" s="187"/>
      <c r="O44" s="188"/>
      <c r="P44" s="198"/>
      <c r="Q44" s="194"/>
      <c r="R44" s="206"/>
      <c r="S44" s="204"/>
      <c r="T44" s="206"/>
      <c r="U44" s="204"/>
      <c r="V44" s="135"/>
      <c r="W44" s="241"/>
      <c r="X44" s="125"/>
    </row>
    <row r="45" spans="1:596" s="240" customFormat="1" x14ac:dyDescent="0.45">
      <c r="A45" s="99"/>
      <c r="B45" s="84"/>
      <c r="C45" s="83"/>
      <c r="D45" s="85"/>
      <c r="E45" s="84"/>
      <c r="F45" s="84"/>
      <c r="G45" s="83"/>
      <c r="H45" s="96"/>
      <c r="I45" s="96"/>
      <c r="J45" s="84"/>
      <c r="K45" s="84"/>
      <c r="L45" s="84"/>
      <c r="M45" s="84"/>
      <c r="N45" s="236"/>
      <c r="O45" s="237"/>
      <c r="P45" s="238"/>
      <c r="Q45" s="239"/>
      <c r="R45" s="236"/>
      <c r="S45" s="237"/>
      <c r="T45" s="238"/>
      <c r="U45" s="239"/>
      <c r="V45" s="135"/>
      <c r="W45" s="241"/>
      <c r="X45" s="125"/>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c r="CY45" s="86"/>
      <c r="CZ45" s="86"/>
      <c r="DA45" s="86"/>
      <c r="DB45" s="86"/>
      <c r="DC45" s="86"/>
      <c r="DD45" s="86"/>
      <c r="DE45" s="86"/>
      <c r="DF45" s="86"/>
      <c r="DG45" s="86"/>
      <c r="DH45" s="86"/>
      <c r="DI45" s="86"/>
      <c r="DJ45" s="86"/>
      <c r="DK45" s="86"/>
      <c r="DL45" s="86"/>
      <c r="DM45" s="86"/>
      <c r="DN45" s="86"/>
      <c r="DO45" s="86"/>
      <c r="DP45" s="86"/>
      <c r="DQ45" s="86"/>
      <c r="DR45" s="86"/>
      <c r="DS45" s="86"/>
      <c r="DT45" s="86"/>
      <c r="DU45" s="86"/>
      <c r="DV45" s="86"/>
      <c r="DW45" s="86"/>
      <c r="DX45" s="86"/>
      <c r="DY45" s="86"/>
      <c r="DZ45" s="86"/>
      <c r="EA45" s="86"/>
      <c r="EB45" s="86"/>
      <c r="EC45" s="86"/>
      <c r="ED45" s="86"/>
      <c r="EE45" s="86"/>
      <c r="EF45" s="86"/>
      <c r="EG45" s="86"/>
      <c r="EH45" s="86"/>
      <c r="EI45" s="86"/>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6"/>
      <c r="FU45" s="86"/>
      <c r="FV45" s="86"/>
      <c r="FW45" s="86"/>
      <c r="FX45" s="86"/>
      <c r="FY45" s="86"/>
      <c r="FZ45" s="86"/>
      <c r="GA45" s="86"/>
      <c r="GB45" s="86"/>
      <c r="GC45" s="86"/>
      <c r="GD45" s="86"/>
      <c r="GE45" s="86"/>
      <c r="GF45" s="86"/>
      <c r="GG45" s="86"/>
      <c r="GH45" s="86"/>
      <c r="GI45" s="86"/>
      <c r="GJ45" s="86"/>
      <c r="GK45" s="86"/>
      <c r="GL45" s="86"/>
      <c r="GM45" s="86"/>
      <c r="GN45" s="86"/>
      <c r="GO45" s="86"/>
      <c r="GP45" s="86"/>
      <c r="GQ45" s="86"/>
      <c r="GR45" s="86"/>
      <c r="GS45" s="86"/>
      <c r="GT45" s="86"/>
      <c r="GU45" s="86"/>
      <c r="GV45" s="86"/>
      <c r="GW45" s="86"/>
      <c r="GX45" s="86"/>
      <c r="GY45" s="86"/>
      <c r="GZ45" s="86"/>
      <c r="HA45" s="86"/>
      <c r="HB45" s="86"/>
      <c r="HC45" s="86"/>
      <c r="HD45" s="86"/>
      <c r="HE45" s="86"/>
      <c r="HF45" s="86"/>
      <c r="HG45" s="86"/>
      <c r="HH45" s="86"/>
      <c r="HI45" s="86"/>
      <c r="HJ45" s="86"/>
      <c r="HK45" s="86"/>
      <c r="HL45" s="86"/>
      <c r="HM45" s="86"/>
      <c r="HN45" s="86"/>
      <c r="HO45" s="86"/>
      <c r="HP45" s="86"/>
      <c r="HQ45" s="86"/>
      <c r="HR45" s="86"/>
      <c r="HS45" s="86"/>
      <c r="HT45" s="86"/>
      <c r="HU45" s="86"/>
      <c r="HV45" s="86"/>
      <c r="HW45" s="86"/>
      <c r="HX45" s="86"/>
      <c r="HY45" s="86"/>
      <c r="HZ45" s="86"/>
      <c r="IA45" s="86"/>
      <c r="IB45" s="86"/>
      <c r="IC45" s="86"/>
      <c r="ID45" s="86"/>
      <c r="IE45" s="86"/>
      <c r="IF45" s="86"/>
      <c r="IG45" s="86"/>
      <c r="IH45" s="86"/>
      <c r="II45" s="86"/>
      <c r="IJ45" s="86"/>
      <c r="IK45" s="86"/>
      <c r="IL45" s="86"/>
      <c r="IM45" s="86"/>
      <c r="IN45" s="86"/>
      <c r="IO45" s="86"/>
      <c r="IP45" s="86"/>
      <c r="IQ45" s="86"/>
      <c r="IR45" s="86"/>
      <c r="IS45" s="86"/>
      <c r="IT45" s="86"/>
      <c r="IU45" s="86"/>
      <c r="IV45" s="86"/>
      <c r="IW45" s="86"/>
      <c r="IX45" s="86"/>
      <c r="IY45" s="86"/>
      <c r="IZ45" s="86"/>
      <c r="JA45" s="86"/>
      <c r="JB45" s="86"/>
      <c r="JC45" s="86"/>
      <c r="JD45" s="86"/>
      <c r="JE45" s="86"/>
      <c r="JF45" s="86"/>
      <c r="JG45" s="86"/>
      <c r="JH45" s="86"/>
      <c r="JI45" s="86"/>
      <c r="JJ45" s="86"/>
      <c r="JK45" s="86"/>
      <c r="JL45" s="86"/>
      <c r="JM45" s="86"/>
      <c r="JN45" s="86"/>
      <c r="JO45" s="86"/>
      <c r="JP45" s="86"/>
      <c r="JQ45" s="86"/>
      <c r="JR45" s="86"/>
      <c r="JS45" s="86"/>
      <c r="JT45" s="86"/>
      <c r="JU45" s="86"/>
      <c r="JV45" s="86"/>
      <c r="JW45" s="86"/>
      <c r="JX45" s="86"/>
      <c r="JY45" s="86"/>
      <c r="JZ45" s="86"/>
      <c r="KA45" s="86"/>
      <c r="KB45" s="86"/>
      <c r="KC45" s="86"/>
      <c r="KD45" s="86"/>
      <c r="KE45" s="86"/>
      <c r="KF45" s="86"/>
      <c r="KG45" s="86"/>
      <c r="KH45" s="86"/>
      <c r="KI45" s="86"/>
      <c r="KJ45" s="86"/>
      <c r="KK45" s="86"/>
      <c r="KL45" s="86"/>
      <c r="KM45" s="86"/>
      <c r="KN45" s="86"/>
      <c r="KO45" s="86"/>
      <c r="KP45" s="86"/>
      <c r="KQ45" s="86"/>
      <c r="KR45" s="86"/>
      <c r="KS45" s="86"/>
      <c r="KT45" s="86"/>
      <c r="KU45" s="86"/>
      <c r="KV45" s="86"/>
      <c r="KW45" s="86"/>
      <c r="KX45" s="86"/>
      <c r="KY45" s="86"/>
      <c r="KZ45" s="86"/>
      <c r="LA45" s="86"/>
      <c r="LB45" s="86"/>
      <c r="LC45" s="86"/>
      <c r="LD45" s="86"/>
      <c r="LE45" s="86"/>
      <c r="LF45" s="86"/>
      <c r="LG45" s="86"/>
      <c r="LH45" s="86"/>
      <c r="LI45" s="86"/>
      <c r="LJ45" s="86"/>
      <c r="LK45" s="86"/>
      <c r="LL45" s="86"/>
      <c r="LM45" s="86"/>
      <c r="LN45" s="86"/>
      <c r="LO45" s="86"/>
      <c r="LP45" s="86"/>
      <c r="LQ45" s="86"/>
      <c r="LR45" s="86"/>
      <c r="LS45" s="86"/>
      <c r="LT45" s="86"/>
      <c r="LU45" s="86"/>
      <c r="LV45" s="86"/>
      <c r="LW45" s="86"/>
      <c r="LX45" s="86"/>
      <c r="LY45" s="86"/>
      <c r="LZ45" s="86"/>
      <c r="MA45" s="86"/>
      <c r="MB45" s="86"/>
      <c r="MC45" s="86"/>
      <c r="MD45" s="86"/>
      <c r="ME45" s="86"/>
      <c r="MF45" s="86"/>
      <c r="MG45" s="86"/>
      <c r="MH45" s="86"/>
      <c r="MI45" s="86"/>
      <c r="MJ45" s="86"/>
      <c r="MK45" s="86"/>
      <c r="ML45" s="86"/>
      <c r="MM45" s="86"/>
      <c r="MN45" s="86"/>
      <c r="MO45" s="86"/>
      <c r="MP45" s="86"/>
      <c r="MQ45" s="86"/>
      <c r="MR45" s="86"/>
      <c r="MS45" s="86"/>
      <c r="MT45" s="86"/>
      <c r="MU45" s="86"/>
      <c r="MV45" s="86"/>
      <c r="MW45" s="86"/>
      <c r="MX45" s="86"/>
      <c r="MY45" s="86"/>
      <c r="MZ45" s="86"/>
      <c r="NA45" s="86"/>
      <c r="NB45" s="86"/>
      <c r="NC45" s="86"/>
      <c r="ND45" s="86"/>
      <c r="NE45" s="86"/>
      <c r="NF45" s="86"/>
      <c r="NG45" s="86"/>
      <c r="NH45" s="86"/>
      <c r="NI45" s="86"/>
      <c r="NJ45" s="86"/>
      <c r="NK45" s="86"/>
      <c r="NL45" s="86"/>
      <c r="NM45" s="86"/>
      <c r="NN45" s="86"/>
      <c r="NO45" s="86"/>
      <c r="NP45" s="86"/>
      <c r="NQ45" s="86"/>
      <c r="NR45" s="86"/>
      <c r="NS45" s="86"/>
      <c r="NT45" s="86"/>
      <c r="NU45" s="86"/>
      <c r="NV45" s="86"/>
      <c r="NW45" s="86"/>
      <c r="NX45" s="86"/>
      <c r="NY45" s="86"/>
      <c r="NZ45" s="86"/>
      <c r="OA45" s="86"/>
      <c r="OB45" s="86"/>
      <c r="OC45" s="86"/>
      <c r="OD45" s="86"/>
      <c r="OE45" s="86"/>
      <c r="OF45" s="86"/>
      <c r="OG45" s="86"/>
      <c r="OH45" s="86"/>
      <c r="OI45" s="86"/>
      <c r="OJ45" s="86"/>
      <c r="OK45" s="86"/>
      <c r="OL45" s="86"/>
      <c r="OM45" s="86"/>
      <c r="ON45" s="86"/>
      <c r="OO45" s="86"/>
      <c r="OP45" s="86"/>
      <c r="OQ45" s="86"/>
      <c r="OR45" s="86"/>
      <c r="OS45" s="86"/>
      <c r="OT45" s="86"/>
      <c r="OU45" s="86"/>
      <c r="OV45" s="86"/>
      <c r="OW45" s="86"/>
      <c r="OX45" s="86"/>
      <c r="OY45" s="86"/>
      <c r="OZ45" s="86"/>
      <c r="PA45" s="86"/>
      <c r="PB45" s="86"/>
      <c r="PC45" s="86"/>
      <c r="PD45" s="86"/>
      <c r="PE45" s="86"/>
      <c r="PF45" s="86"/>
      <c r="PG45" s="86"/>
      <c r="PH45" s="86"/>
      <c r="PI45" s="86"/>
      <c r="PJ45" s="86"/>
      <c r="PK45" s="86"/>
      <c r="PL45" s="86"/>
      <c r="PM45" s="86"/>
      <c r="PN45" s="86"/>
      <c r="PO45" s="86"/>
      <c r="PP45" s="86"/>
      <c r="PQ45" s="86"/>
      <c r="PR45" s="86"/>
      <c r="PS45" s="86"/>
      <c r="PT45" s="86"/>
      <c r="PU45" s="86"/>
      <c r="PV45" s="86"/>
      <c r="PW45" s="86"/>
      <c r="PX45" s="86"/>
      <c r="PY45" s="86"/>
      <c r="PZ45" s="86"/>
      <c r="QA45" s="86"/>
      <c r="QB45" s="86"/>
      <c r="QC45" s="86"/>
      <c r="QD45" s="86"/>
      <c r="QE45" s="86"/>
      <c r="QF45" s="86"/>
      <c r="QG45" s="86"/>
      <c r="QH45" s="86"/>
      <c r="QI45" s="86"/>
      <c r="QJ45" s="86"/>
      <c r="QK45" s="86"/>
      <c r="QL45" s="86"/>
      <c r="QM45" s="86"/>
      <c r="QN45" s="86"/>
      <c r="QO45" s="86"/>
      <c r="QP45" s="86"/>
      <c r="QQ45" s="86"/>
      <c r="QR45" s="86"/>
      <c r="QS45" s="86"/>
      <c r="QT45" s="86"/>
      <c r="QU45" s="86"/>
      <c r="QV45" s="86"/>
      <c r="QW45" s="86"/>
      <c r="QX45" s="86"/>
      <c r="QY45" s="86"/>
      <c r="QZ45" s="86"/>
      <c r="RA45" s="86"/>
      <c r="RB45" s="86"/>
      <c r="RC45" s="86"/>
      <c r="RD45" s="86"/>
      <c r="RE45" s="86"/>
      <c r="RF45" s="86"/>
      <c r="RG45" s="86"/>
      <c r="RH45" s="86"/>
      <c r="RI45" s="86"/>
      <c r="RJ45" s="86"/>
      <c r="RK45" s="86"/>
      <c r="RL45" s="86"/>
      <c r="RM45" s="86"/>
      <c r="RN45" s="86"/>
      <c r="RO45" s="86"/>
      <c r="RP45" s="86"/>
      <c r="RQ45" s="86"/>
      <c r="RR45" s="86"/>
      <c r="RS45" s="86"/>
      <c r="RT45" s="86"/>
      <c r="RU45" s="86"/>
      <c r="RV45" s="86"/>
      <c r="RW45" s="86"/>
      <c r="RX45" s="86"/>
      <c r="RY45" s="86"/>
      <c r="RZ45" s="86"/>
      <c r="SA45" s="86"/>
      <c r="SB45" s="86"/>
      <c r="SC45" s="86"/>
      <c r="SD45" s="86"/>
      <c r="SE45" s="86"/>
      <c r="SF45" s="86"/>
      <c r="SG45" s="86"/>
      <c r="SH45" s="86"/>
      <c r="SI45" s="86"/>
      <c r="SJ45" s="86"/>
      <c r="SK45" s="86"/>
      <c r="SL45" s="86"/>
      <c r="SM45" s="86"/>
      <c r="SN45" s="86"/>
      <c r="SO45" s="86"/>
      <c r="SP45" s="86"/>
      <c r="SQ45" s="86"/>
      <c r="SR45" s="86"/>
      <c r="SS45" s="86"/>
      <c r="ST45" s="86"/>
      <c r="SU45" s="86"/>
      <c r="SV45" s="86"/>
      <c r="SW45" s="86"/>
      <c r="SX45" s="86"/>
      <c r="SY45" s="86"/>
      <c r="SZ45" s="86"/>
      <c r="TA45" s="86"/>
      <c r="TB45" s="86"/>
      <c r="TC45" s="86"/>
      <c r="TD45" s="86"/>
      <c r="TE45" s="86"/>
      <c r="TF45" s="86"/>
      <c r="TG45" s="86"/>
      <c r="TH45" s="86"/>
      <c r="TI45" s="86"/>
      <c r="TJ45" s="86"/>
      <c r="TK45" s="86"/>
      <c r="TL45" s="86"/>
      <c r="TM45" s="86"/>
      <c r="TN45" s="86"/>
      <c r="TO45" s="86"/>
      <c r="TP45" s="86"/>
      <c r="TQ45" s="86"/>
      <c r="TR45" s="86"/>
      <c r="TS45" s="86"/>
      <c r="TT45" s="86"/>
      <c r="TU45" s="86"/>
      <c r="TV45" s="86"/>
      <c r="TW45" s="86"/>
      <c r="TX45" s="86"/>
      <c r="TY45" s="86"/>
      <c r="TZ45" s="86"/>
      <c r="UA45" s="86"/>
      <c r="UB45" s="86"/>
      <c r="UC45" s="86"/>
      <c r="UD45" s="86"/>
      <c r="UE45" s="86"/>
      <c r="UF45" s="86"/>
      <c r="UG45" s="86"/>
      <c r="UH45" s="86"/>
      <c r="UI45" s="86"/>
      <c r="UJ45" s="86"/>
      <c r="UK45" s="86"/>
      <c r="UL45" s="86"/>
      <c r="UM45" s="86"/>
      <c r="UN45" s="86"/>
      <c r="UO45" s="86"/>
      <c r="UP45" s="86"/>
      <c r="UQ45" s="86"/>
      <c r="UR45" s="86"/>
      <c r="US45" s="86"/>
      <c r="UT45" s="86"/>
      <c r="UU45" s="86"/>
      <c r="UV45" s="86"/>
      <c r="UW45" s="86"/>
      <c r="UX45" s="86"/>
      <c r="UY45" s="86"/>
      <c r="UZ45" s="86"/>
      <c r="VA45" s="86"/>
      <c r="VB45" s="86"/>
      <c r="VC45" s="86"/>
      <c r="VD45" s="86"/>
      <c r="VE45" s="86"/>
      <c r="VF45" s="86"/>
      <c r="VG45" s="86"/>
      <c r="VH45" s="86"/>
      <c r="VI45" s="86"/>
      <c r="VJ45" s="86"/>
      <c r="VK45" s="86"/>
      <c r="VL45" s="86"/>
      <c r="VM45" s="86"/>
      <c r="VN45" s="86"/>
      <c r="VO45" s="86"/>
      <c r="VP45" s="86"/>
      <c r="VQ45" s="86"/>
      <c r="VR45" s="86"/>
      <c r="VS45" s="86"/>
      <c r="VT45" s="86"/>
      <c r="VU45" s="86"/>
      <c r="VV45" s="86"/>
      <c r="VW45" s="86"/>
      <c r="VX45" s="86"/>
    </row>
    <row r="46" spans="1:596" s="86" customFormat="1" x14ac:dyDescent="0.45">
      <c r="A46" s="84"/>
      <c r="B46" s="84"/>
      <c r="C46" s="83"/>
      <c r="D46" s="85"/>
      <c r="E46" s="84"/>
      <c r="F46" s="84"/>
      <c r="G46" s="83"/>
      <c r="H46" s="96"/>
      <c r="I46" s="96"/>
      <c r="J46" s="84"/>
      <c r="K46" s="84"/>
      <c r="L46" s="84"/>
      <c r="M46" s="84"/>
      <c r="N46" s="187"/>
      <c r="O46" s="188"/>
      <c r="P46" s="198"/>
      <c r="Q46" s="194"/>
      <c r="R46" s="206"/>
      <c r="S46" s="204"/>
      <c r="T46" s="206"/>
      <c r="U46" s="204"/>
      <c r="V46" s="204"/>
      <c r="W46" s="241"/>
      <c r="X46" s="125"/>
    </row>
    <row r="47" spans="1:596" s="86" customFormat="1" ht="29.25" customHeight="1" x14ac:dyDescent="0.45">
      <c r="A47" s="242" t="s">
        <v>137</v>
      </c>
      <c r="B47" s="242"/>
      <c r="C47" s="242"/>
      <c r="D47" s="242"/>
      <c r="E47" s="242"/>
      <c r="F47" s="242"/>
      <c r="G47" s="242"/>
      <c r="H47" s="242"/>
      <c r="I47" s="242"/>
      <c r="J47" s="242"/>
      <c r="K47" s="84"/>
      <c r="L47" s="84"/>
      <c r="M47" s="84"/>
      <c r="N47" s="201"/>
      <c r="O47" s="201"/>
      <c r="P47" s="201"/>
      <c r="Q47" s="212"/>
      <c r="R47" s="132"/>
      <c r="S47" s="132"/>
      <c r="T47" s="132"/>
      <c r="U47" s="132"/>
      <c r="V47" s="132"/>
      <c r="W47" s="241"/>
      <c r="X47" s="125"/>
    </row>
    <row r="48" spans="1:596" s="86" customFormat="1" x14ac:dyDescent="0.45">
      <c r="A48" s="234"/>
      <c r="B48" s="234"/>
      <c r="C48" s="234"/>
      <c r="D48" s="234"/>
      <c r="E48" s="234"/>
      <c r="F48" s="234"/>
      <c r="G48" s="234"/>
      <c r="H48" s="234"/>
      <c r="I48" s="234"/>
      <c r="J48" s="234"/>
      <c r="K48" s="84"/>
      <c r="L48" s="84"/>
      <c r="M48" s="84"/>
      <c r="N48" s="201"/>
      <c r="O48" s="201"/>
      <c r="P48" s="201"/>
      <c r="Q48" s="212"/>
      <c r="R48" s="132"/>
      <c r="S48" s="132"/>
      <c r="T48" s="132"/>
      <c r="U48" s="132"/>
      <c r="V48" s="132"/>
      <c r="W48" s="241"/>
      <c r="X48" s="125"/>
    </row>
    <row r="49" spans="1:24" s="86" customFormat="1" x14ac:dyDescent="0.45">
      <c r="A49" s="99" t="s">
        <v>195</v>
      </c>
      <c r="B49" s="84"/>
      <c r="C49" s="83"/>
      <c r="E49" s="84"/>
      <c r="F49" s="84"/>
      <c r="G49" s="83" t="s">
        <v>42</v>
      </c>
      <c r="H49" s="216">
        <f ca="1">Q75</f>
        <v>21.677582031920881</v>
      </c>
      <c r="I49" s="171">
        <f ca="1">Q49</f>
        <v>52.803584448547923</v>
      </c>
      <c r="J49" s="84"/>
      <c r="K49" s="84"/>
      <c r="L49" s="84"/>
      <c r="M49" s="84"/>
      <c r="N49" s="187"/>
      <c r="O49" s="188"/>
      <c r="P49" s="184"/>
      <c r="Q49" s="194">
        <f ca="1">Q75+Q38</f>
        <v>52.803584448547923</v>
      </c>
      <c r="R49" s="133"/>
      <c r="S49" s="175"/>
      <c r="T49" s="133"/>
      <c r="U49" s="175"/>
      <c r="V49" s="135"/>
      <c r="W49" s="241"/>
    </row>
    <row r="50" spans="1:24" s="86" customFormat="1" x14ac:dyDescent="0.45">
      <c r="A50" s="84"/>
      <c r="B50" s="85" t="s">
        <v>200</v>
      </c>
      <c r="C50" s="83"/>
      <c r="E50" s="84"/>
      <c r="F50" s="84"/>
      <c r="G50" s="84"/>
      <c r="H50" s="83"/>
      <c r="I50" s="84"/>
      <c r="J50" s="84"/>
      <c r="K50" s="84"/>
      <c r="L50" s="84"/>
      <c r="M50" s="84"/>
      <c r="N50" s="187"/>
      <c r="O50" s="188"/>
      <c r="P50" s="184"/>
      <c r="Q50" s="185"/>
      <c r="R50" s="132"/>
      <c r="S50" s="204"/>
      <c r="T50" s="132"/>
      <c r="U50" s="204"/>
      <c r="V50" s="132"/>
      <c r="W50" s="241"/>
    </row>
    <row r="51" spans="1:24" s="86" customFormat="1" x14ac:dyDescent="0.45">
      <c r="A51" s="84"/>
      <c r="B51" s="85" t="s">
        <v>199</v>
      </c>
      <c r="C51" s="83"/>
      <c r="D51" s="85"/>
      <c r="E51" s="84"/>
      <c r="F51" s="84"/>
      <c r="G51" s="84"/>
      <c r="H51" s="83"/>
      <c r="I51" s="84"/>
      <c r="J51" s="84"/>
      <c r="K51" s="84"/>
      <c r="L51" s="84"/>
      <c r="M51" s="84"/>
      <c r="N51" s="187"/>
      <c r="O51" s="188"/>
      <c r="P51" s="184"/>
      <c r="Q51" s="185"/>
      <c r="R51" s="132"/>
      <c r="S51" s="204"/>
      <c r="T51" s="132"/>
      <c r="U51" s="204"/>
      <c r="V51" s="132"/>
      <c r="W51" s="241"/>
    </row>
    <row r="52" spans="1:24" s="86" customFormat="1" x14ac:dyDescent="0.45">
      <c r="A52" s="84"/>
      <c r="B52" s="85"/>
      <c r="C52" s="83"/>
      <c r="D52" s="85"/>
      <c r="E52" s="84"/>
      <c r="F52" s="84"/>
      <c r="G52" s="84"/>
      <c r="H52" s="83"/>
      <c r="I52" s="84"/>
      <c r="J52" s="84"/>
      <c r="K52" s="84"/>
      <c r="L52" s="84"/>
      <c r="M52" s="84"/>
      <c r="N52" s="187"/>
      <c r="O52" s="188"/>
      <c r="P52" s="184"/>
      <c r="Q52" s="185"/>
      <c r="R52" s="132"/>
      <c r="S52" s="204"/>
      <c r="T52" s="132"/>
      <c r="U52" s="204"/>
      <c r="V52" s="132"/>
      <c r="W52" s="241"/>
    </row>
    <row r="53" spans="1:24" s="86" customFormat="1" ht="14.25" customHeight="1" x14ac:dyDescent="0.45">
      <c r="A53" s="128"/>
      <c r="B53" s="105"/>
      <c r="C53" s="106"/>
      <c r="D53" s="128"/>
      <c r="E53" s="105"/>
      <c r="F53" s="105"/>
      <c r="G53" s="106"/>
      <c r="H53" s="129"/>
      <c r="I53" s="129"/>
      <c r="J53" s="105"/>
      <c r="K53" s="84"/>
      <c r="L53" s="84"/>
      <c r="M53" s="84"/>
      <c r="N53" s="201"/>
      <c r="O53" s="201"/>
      <c r="P53" s="201"/>
      <c r="Q53" s="212"/>
      <c r="R53" s="132"/>
      <c r="S53" s="132"/>
      <c r="T53" s="132"/>
      <c r="U53" s="132"/>
      <c r="V53" s="132"/>
      <c r="W53" s="241"/>
      <c r="X53" s="125"/>
    </row>
    <row r="54" spans="1:24" s="86" customFormat="1" x14ac:dyDescent="0.45">
      <c r="A54" s="99"/>
      <c r="C54" s="84"/>
      <c r="D54" s="84"/>
      <c r="E54" s="84"/>
      <c r="F54" s="84"/>
      <c r="G54" s="84"/>
      <c r="H54" s="84"/>
      <c r="I54" s="84"/>
      <c r="J54" s="84"/>
      <c r="K54" s="84"/>
      <c r="L54" s="84"/>
      <c r="M54" s="84"/>
      <c r="N54" s="201"/>
      <c r="O54" s="201"/>
      <c r="P54" s="201"/>
      <c r="Q54" s="212"/>
      <c r="R54" s="132"/>
      <c r="S54" s="132"/>
      <c r="T54" s="132"/>
      <c r="U54" s="132"/>
      <c r="V54" s="132"/>
      <c r="W54" s="241"/>
    </row>
    <row r="55" spans="1:24" s="86" customFormat="1" x14ac:dyDescent="0.45">
      <c r="A55" s="242" t="str">
        <f>"In addition to the above wage rates for Temporary Employees, the Employer shall make contributions to the IATSE Health and Welfare Plan"</f>
        <v>In addition to the above wage rates for Temporary Employees, the Employer shall make contributions to the IATSE Health and Welfare Plan</v>
      </c>
      <c r="B55" s="242"/>
      <c r="C55" s="242"/>
      <c r="D55" s="242"/>
      <c r="E55" s="242"/>
      <c r="F55" s="242"/>
      <c r="G55" s="242"/>
      <c r="H55" s="242"/>
      <c r="I55" s="242"/>
      <c r="J55" s="242"/>
      <c r="K55" s="84"/>
      <c r="L55" s="84"/>
      <c r="M55" s="84"/>
      <c r="N55" s="184" t="s">
        <v>201</v>
      </c>
      <c r="O55" s="201"/>
      <c r="P55" s="201"/>
      <c r="Q55" s="213">
        <v>0.125</v>
      </c>
      <c r="R55" s="133" t="str">
        <f>N55</f>
        <v>IATSE H&amp;W</v>
      </c>
      <c r="S55" s="133"/>
      <c r="T55" s="133"/>
      <c r="U55" s="133"/>
      <c r="V55" s="218">
        <f>Q55</f>
        <v>0.125</v>
      </c>
      <c r="W55" s="241"/>
    </row>
    <row r="56" spans="1:24" s="86" customFormat="1" x14ac:dyDescent="0.45">
      <c r="A56" s="84" t="str">
        <f>"sponsored by the Union for the benefit of its members. Such contributions shall be made at the rate of "&amp;TEXT(Q55,"###.0%")&amp;" of gross wages."</f>
        <v>sponsored by the Union for the benefit of its members. Such contributions shall be made at the rate of 12.5% of gross wages.</v>
      </c>
      <c r="C56" s="84"/>
      <c r="D56" s="84"/>
      <c r="E56" s="84"/>
      <c r="F56" s="84"/>
      <c r="G56" s="84"/>
      <c r="H56" s="84"/>
      <c r="I56" s="84"/>
      <c r="J56" s="84"/>
      <c r="K56" s="84"/>
      <c r="L56" s="84"/>
      <c r="M56" s="84"/>
      <c r="N56" s="201"/>
      <c r="O56" s="201"/>
      <c r="P56" s="201"/>
      <c r="Q56" s="212"/>
      <c r="R56" s="132"/>
      <c r="S56" s="132"/>
      <c r="T56" s="132"/>
      <c r="U56" s="132"/>
      <c r="V56" s="132"/>
      <c r="W56" s="241"/>
    </row>
    <row r="57" spans="1:24" s="86" customFormat="1" x14ac:dyDescent="0.45">
      <c r="A57" s="84"/>
      <c r="C57" s="84"/>
      <c r="D57" s="84"/>
      <c r="E57" s="84"/>
      <c r="F57" s="84"/>
      <c r="G57" s="84"/>
      <c r="H57" s="84"/>
      <c r="I57" s="84"/>
      <c r="J57" s="84"/>
      <c r="K57" s="84"/>
      <c r="L57" s="84"/>
      <c r="M57" s="84"/>
      <c r="N57" s="201"/>
      <c r="O57" s="201"/>
      <c r="P57" s="201"/>
      <c r="Q57" s="212"/>
      <c r="R57" s="132"/>
      <c r="S57" s="132"/>
      <c r="T57" s="132"/>
      <c r="U57" s="132"/>
      <c r="V57" s="132"/>
      <c r="W57" s="241"/>
    </row>
    <row r="58" spans="1:24" s="86" customFormat="1" x14ac:dyDescent="0.45">
      <c r="A58" s="99" t="s">
        <v>93</v>
      </c>
      <c r="C58" s="84"/>
      <c r="D58" s="84"/>
      <c r="E58" s="84"/>
      <c r="F58" s="84"/>
      <c r="G58" s="84"/>
      <c r="H58" s="84"/>
      <c r="I58" s="84"/>
      <c r="J58" s="84"/>
      <c r="K58" s="84"/>
      <c r="L58" s="84"/>
      <c r="M58" s="84"/>
      <c r="N58" s="201"/>
      <c r="O58" s="201"/>
      <c r="P58" s="201"/>
      <c r="Q58" s="212"/>
      <c r="R58" s="132"/>
      <c r="S58" s="132"/>
      <c r="T58" s="132"/>
      <c r="U58" s="132"/>
      <c r="V58" s="132"/>
      <c r="W58" s="241"/>
    </row>
    <row r="59" spans="1:24" s="86" customFormat="1" x14ac:dyDescent="0.45">
      <c r="A59" s="242" t="s">
        <v>202</v>
      </c>
      <c r="B59" s="242"/>
      <c r="C59" s="242"/>
      <c r="D59" s="242"/>
      <c r="E59" s="242"/>
      <c r="F59" s="242"/>
      <c r="G59" s="242"/>
      <c r="H59" s="242"/>
      <c r="I59" s="242"/>
      <c r="J59" s="242"/>
      <c r="K59" s="84"/>
      <c r="L59" s="84"/>
      <c r="M59" s="84"/>
      <c r="N59" s="201"/>
      <c r="O59" s="201"/>
      <c r="P59" s="201"/>
      <c r="Q59" s="212"/>
      <c r="R59" s="132"/>
      <c r="S59" s="132"/>
      <c r="T59" s="132"/>
      <c r="U59" s="132"/>
      <c r="V59" s="132"/>
      <c r="W59" s="241"/>
    </row>
    <row r="60" spans="1:24" s="86" customFormat="1" x14ac:dyDescent="0.45">
      <c r="A60" s="85" t="str">
        <f>"Trust, sponsored by the Union for the benefit of its members. Such contributions shall be made at the rate of "&amp;TEXT(Q60,"##.0%")&amp;" of gross wages."</f>
        <v>Trust, sponsored by the Union for the benefit of its members. Such contributions shall be made at the rate of 6.0% of gross wages.</v>
      </c>
      <c r="B60" s="234"/>
      <c r="C60" s="234"/>
      <c r="D60" s="234"/>
      <c r="E60" s="234"/>
      <c r="F60" s="234"/>
      <c r="G60" s="234"/>
      <c r="H60" s="234"/>
      <c r="I60" s="234"/>
      <c r="J60" s="234"/>
      <c r="K60" s="84"/>
      <c r="L60" s="84"/>
      <c r="M60" s="84"/>
      <c r="N60" s="184" t="s">
        <v>203</v>
      </c>
      <c r="O60" s="201"/>
      <c r="P60" s="201"/>
      <c r="Q60" s="213">
        <v>0.06</v>
      </c>
      <c r="R60" s="133" t="str">
        <f>N60</f>
        <v>IATSE Retirement</v>
      </c>
      <c r="S60" s="133"/>
      <c r="T60" s="133"/>
      <c r="U60" s="133"/>
      <c r="V60" s="218">
        <f>Q60</f>
        <v>0.06</v>
      </c>
      <c r="W60" s="241"/>
    </row>
    <row r="61" spans="1:24" s="86" customFormat="1" x14ac:dyDescent="0.45">
      <c r="A61" s="85"/>
      <c r="B61" s="234"/>
      <c r="C61" s="234"/>
      <c r="D61" s="234"/>
      <c r="E61" s="234"/>
      <c r="F61" s="234"/>
      <c r="G61" s="234"/>
      <c r="H61" s="234"/>
      <c r="I61" s="234"/>
      <c r="J61" s="234"/>
      <c r="K61" s="84"/>
      <c r="L61" s="84"/>
      <c r="M61" s="84"/>
      <c r="N61" s="184"/>
      <c r="O61" s="201"/>
      <c r="P61" s="201"/>
      <c r="Q61" s="214"/>
      <c r="R61" s="132"/>
      <c r="S61" s="132"/>
      <c r="T61" s="132"/>
      <c r="U61" s="132"/>
      <c r="V61" s="132"/>
      <c r="W61" s="241"/>
    </row>
    <row r="62" spans="1:24" s="86" customFormat="1" x14ac:dyDescent="0.45">
      <c r="A62" s="84"/>
      <c r="C62" s="84"/>
      <c r="D62" s="84"/>
      <c r="E62" s="84"/>
      <c r="F62" s="84"/>
      <c r="G62" s="84"/>
      <c r="H62" s="84"/>
      <c r="I62" s="84"/>
      <c r="J62" s="84"/>
      <c r="K62" s="84"/>
      <c r="L62" s="84"/>
      <c r="M62" s="84"/>
      <c r="N62" s="189" t="s">
        <v>156</v>
      </c>
      <c r="O62" s="190"/>
      <c r="P62" s="191" t="s">
        <v>157</v>
      </c>
      <c r="Q62" s="192" t="s">
        <v>155</v>
      </c>
      <c r="R62" s="172" t="s">
        <v>156</v>
      </c>
      <c r="S62" s="179" t="s">
        <v>190</v>
      </c>
      <c r="T62" s="173" t="s">
        <v>157</v>
      </c>
      <c r="U62" s="132"/>
      <c r="V62" s="176" t="s">
        <v>155</v>
      </c>
      <c r="W62" s="241"/>
    </row>
    <row r="63" spans="1:24" s="86" customFormat="1" x14ac:dyDescent="0.45">
      <c r="A63" s="84"/>
      <c r="C63" s="84"/>
      <c r="D63" s="84"/>
      <c r="E63" s="84"/>
      <c r="F63" s="84"/>
      <c r="G63" s="84"/>
      <c r="H63" s="84"/>
      <c r="I63" s="84"/>
      <c r="J63" s="84"/>
      <c r="K63" s="84"/>
      <c r="L63" s="84"/>
      <c r="M63" s="84"/>
      <c r="N63" s="202" t="s">
        <v>158</v>
      </c>
      <c r="O63" s="203" t="s">
        <v>192</v>
      </c>
      <c r="P63" s="202" t="s">
        <v>159</v>
      </c>
      <c r="Q63" s="194" cm="1">
        <f t="array" aca="1" ref="Q63" ca="1">IF(O63="Y",VLOOKUP(N63,INDIRECT(P$4),4,0)*INDIRECT(N$3),VLOOKUP(N63,INDIRECT(P$4),4,0))</f>
        <v>9.1822530755030414</v>
      </c>
      <c r="R63" s="207" t="str">
        <f t="shared" ref="R63:T77" si="19">N63</f>
        <v>LDD</v>
      </c>
      <c r="S63" s="208" t="str">
        <f t="shared" si="19"/>
        <v>Y</v>
      </c>
      <c r="T63" s="207" t="str">
        <f>P63</f>
        <v>Perfm 3 Stagehands/Dbl/</v>
      </c>
      <c r="U63" s="209"/>
      <c r="V63" s="210">
        <f t="shared" ref="V63:V77" ca="1" si="20">ROUND(Q63,3)</f>
        <v>9.1820000000000004</v>
      </c>
      <c r="W63" s="241"/>
    </row>
    <row r="64" spans="1:24" s="86" customFormat="1" x14ac:dyDescent="0.45">
      <c r="A64" s="84"/>
      <c r="C64" s="84"/>
      <c r="D64" s="84"/>
      <c r="E64" s="84"/>
      <c r="F64" s="84"/>
      <c r="G64" s="84"/>
      <c r="H64" s="84"/>
      <c r="I64" s="84"/>
      <c r="J64" s="84"/>
      <c r="K64" s="84"/>
      <c r="L64" s="84"/>
      <c r="M64" s="84"/>
      <c r="N64" s="202" t="s">
        <v>160</v>
      </c>
      <c r="O64" s="203" t="s">
        <v>192</v>
      </c>
      <c r="P64" s="202" t="s">
        <v>161</v>
      </c>
      <c r="Q64" s="194" cm="1">
        <f t="array" aca="1" ref="Q64" ca="1">IF(O64="Y",VLOOKUP(N64,INDIRECT(P$4),4,0)*INDIRECT(N$3),VLOOKUP(N64,INDIRECT(P$4),4,0))</f>
        <v>9.1822530755030414</v>
      </c>
      <c r="R64" s="207" t="str">
        <f t="shared" si="19"/>
        <v>LDR</v>
      </c>
      <c r="S64" s="208" t="str">
        <f t="shared" si="19"/>
        <v>Y</v>
      </c>
      <c r="T64" s="207" t="str">
        <f t="shared" si="19"/>
        <v>Perfm 3 Stagehands</v>
      </c>
      <c r="U64" s="209"/>
      <c r="V64" s="210">
        <f t="shared" ca="1" si="20"/>
        <v>9.1820000000000004</v>
      </c>
      <c r="W64" s="241"/>
    </row>
    <row r="65" spans="1:23" s="86" customFormat="1" x14ac:dyDescent="0.45">
      <c r="A65" s="84"/>
      <c r="B65" s="84"/>
      <c r="C65" s="84"/>
      <c r="D65" s="84"/>
      <c r="E65" s="84"/>
      <c r="F65" s="84"/>
      <c r="G65" s="84"/>
      <c r="H65" s="84"/>
      <c r="I65" s="84"/>
      <c r="J65" s="84"/>
      <c r="K65" s="84"/>
      <c r="L65" s="84"/>
      <c r="M65" s="84"/>
      <c r="N65" s="202" t="s">
        <v>162</v>
      </c>
      <c r="O65" s="203" t="s">
        <v>192</v>
      </c>
      <c r="P65" s="202" t="s">
        <v>163</v>
      </c>
      <c r="Q65" s="194" cm="1">
        <f t="array" aca="1" ref="Q65" ca="1">IF(O65="Y",VLOOKUP(N65,INDIRECT(P$4),4,0)*INDIRECT(N$3),VLOOKUP(N65,INDIRECT(P$4),4,0))</f>
        <v>9.1822530755030414</v>
      </c>
      <c r="R65" s="207" t="str">
        <f t="shared" si="19"/>
        <v>LDT</v>
      </c>
      <c r="S65" s="208" t="str">
        <f t="shared" si="19"/>
        <v>Y</v>
      </c>
      <c r="T65" s="207" t="str">
        <f t="shared" si="19"/>
        <v>Perfm 3 Stagehands/1.5/</v>
      </c>
      <c r="U65" s="209"/>
      <c r="V65" s="210">
        <f t="shared" ca="1" si="20"/>
        <v>9.1820000000000004</v>
      </c>
      <c r="W65" s="241"/>
    </row>
    <row r="66" spans="1:23" s="86" customFormat="1" x14ac:dyDescent="0.45">
      <c r="A66" s="89"/>
      <c r="B66" s="101"/>
      <c r="C66" s="107"/>
      <c r="D66" s="107"/>
      <c r="E66" s="84"/>
      <c r="F66" s="84"/>
      <c r="G66" s="84"/>
      <c r="H66" s="84"/>
      <c r="I66" s="84"/>
      <c r="J66" s="84"/>
      <c r="K66" s="84"/>
      <c r="L66" s="84"/>
      <c r="M66" s="84"/>
      <c r="N66" s="202" t="s">
        <v>164</v>
      </c>
      <c r="O66" s="203" t="s">
        <v>192</v>
      </c>
      <c r="P66" s="202" t="s">
        <v>165</v>
      </c>
      <c r="Q66" s="194" cm="1">
        <f t="array" aca="1" ref="Q66" ca="1">IF(O66="Y",VLOOKUP(N66,INDIRECT(P$4),4,0)*INDIRECT(N$3),VLOOKUP(N66,INDIRECT(P$4),4,0))</f>
        <v>19.370506455920882</v>
      </c>
      <c r="R66" s="207" t="str">
        <f t="shared" si="19"/>
        <v>RTD</v>
      </c>
      <c r="S66" s="208" t="str">
        <f t="shared" si="19"/>
        <v>Y</v>
      </c>
      <c r="T66" s="207" t="str">
        <f t="shared" si="19"/>
        <v>L13 Tmp Rig Prm Dbl Hrs/</v>
      </c>
      <c r="U66" s="209"/>
      <c r="V66" s="210">
        <f t="shared" ca="1" si="20"/>
        <v>19.370999999999999</v>
      </c>
      <c r="W66" s="241"/>
    </row>
    <row r="67" spans="1:23" s="86" customFormat="1" x14ac:dyDescent="0.45">
      <c r="A67" s="99"/>
      <c r="B67" s="83"/>
      <c r="C67" s="83"/>
      <c r="D67" s="84"/>
      <c r="E67" s="84"/>
      <c r="F67" s="84"/>
      <c r="G67" s="84"/>
      <c r="H67" s="84"/>
      <c r="I67" s="84"/>
      <c r="J67" s="84"/>
      <c r="K67" s="84"/>
      <c r="L67" s="84"/>
      <c r="M67" s="84"/>
      <c r="N67" s="202" t="s">
        <v>166</v>
      </c>
      <c r="O67" s="203" t="s">
        <v>192</v>
      </c>
      <c r="P67" s="202" t="s">
        <v>167</v>
      </c>
      <c r="Q67" s="194" cm="1">
        <f t="array" aca="1" ref="Q67" ca="1">IF(O67="Y",VLOOKUP(N67,INDIRECT(P$4),4,0)*INDIRECT(N$3),VLOOKUP(N67,INDIRECT(P$4),4,0))</f>
        <v>19.370506455920882</v>
      </c>
      <c r="R67" s="207" t="str">
        <f t="shared" si="19"/>
        <v>RTG</v>
      </c>
      <c r="S67" s="208" t="str">
        <f t="shared" si="19"/>
        <v>Y</v>
      </c>
      <c r="T67" s="207" t="str">
        <f t="shared" si="19"/>
        <v>L13 Tmp Rig Prm Reg Hrs/</v>
      </c>
      <c r="U67" s="209"/>
      <c r="V67" s="210">
        <f t="shared" ca="1" si="20"/>
        <v>19.370999999999999</v>
      </c>
      <c r="W67" s="241"/>
    </row>
    <row r="68" spans="1:23" s="86" customFormat="1" x14ac:dyDescent="0.45">
      <c r="A68" s="84"/>
      <c r="B68" s="84"/>
      <c r="C68" s="84"/>
      <c r="D68" s="84"/>
      <c r="E68" s="84"/>
      <c r="F68" s="84"/>
      <c r="G68" s="84"/>
      <c r="H68" s="84"/>
      <c r="I68" s="84"/>
      <c r="J68" s="84"/>
      <c r="K68" s="84"/>
      <c r="L68" s="84"/>
      <c r="M68" s="84"/>
      <c r="N68" s="202" t="s">
        <v>168</v>
      </c>
      <c r="O68" s="203" t="s">
        <v>192</v>
      </c>
      <c r="P68" s="202" t="s">
        <v>169</v>
      </c>
      <c r="Q68" s="194" cm="1">
        <f t="array" aca="1" ref="Q68" ca="1">IF(O68="Y",VLOOKUP(N68,INDIRECT(P$4),4,0)*INDIRECT(N$3),VLOOKUP(N68,INDIRECT(P$4),4,0))</f>
        <v>19.370506455920882</v>
      </c>
      <c r="R68" s="207" t="str">
        <f t="shared" si="19"/>
        <v>RTT</v>
      </c>
      <c r="S68" s="208" t="str">
        <f t="shared" si="19"/>
        <v>Y</v>
      </c>
      <c r="T68" s="207" t="str">
        <f t="shared" si="19"/>
        <v>L13Tmp Rig Pm 1 1/2 Hrs/</v>
      </c>
      <c r="U68" s="209"/>
      <c r="V68" s="210">
        <f t="shared" ca="1" si="20"/>
        <v>19.370999999999999</v>
      </c>
      <c r="W68" s="241"/>
    </row>
    <row r="69" spans="1:23" s="86" customFormat="1" x14ac:dyDescent="0.45">
      <c r="A69" s="84"/>
      <c r="B69" s="84"/>
      <c r="C69" s="84"/>
      <c r="D69" s="84"/>
      <c r="E69" s="84"/>
      <c r="F69" s="84"/>
      <c r="G69" s="84"/>
      <c r="H69" s="84"/>
      <c r="I69" s="84"/>
      <c r="J69" s="84"/>
      <c r="K69" s="84"/>
      <c r="L69" s="84"/>
      <c r="M69" s="84"/>
      <c r="N69" s="202" t="s">
        <v>170</v>
      </c>
      <c r="O69" s="203" t="s">
        <v>192</v>
      </c>
      <c r="P69" s="202" t="s">
        <v>171</v>
      </c>
      <c r="Q69" s="194" cm="1">
        <f t="array" aca="1" ref="Q69" ca="1">IF(O69="Y",VLOOKUP(N69,INDIRECT(P$4),4,0)*INDIRECT(N$3),VLOOKUP(N69,INDIRECT(P$4),4,0))</f>
        <v>7.7926783853224775</v>
      </c>
      <c r="R69" s="207" t="str">
        <f t="shared" si="19"/>
        <v>SPD</v>
      </c>
      <c r="S69" s="208" t="str">
        <f t="shared" si="19"/>
        <v>Y</v>
      </c>
      <c r="T69" s="207" t="str">
        <f t="shared" si="19"/>
        <v>Perfm 2 Stagehands/Dbl/</v>
      </c>
      <c r="U69" s="209"/>
      <c r="V69" s="210">
        <f t="shared" ca="1" si="20"/>
        <v>7.7930000000000001</v>
      </c>
      <c r="W69" s="241"/>
    </row>
    <row r="70" spans="1:23" s="86" customFormat="1" x14ac:dyDescent="0.45">
      <c r="A70" s="84"/>
      <c r="B70" s="84"/>
      <c r="C70" s="84"/>
      <c r="D70" s="84"/>
      <c r="E70" s="84"/>
      <c r="F70" s="84"/>
      <c r="G70" s="84"/>
      <c r="H70" s="84"/>
      <c r="I70" s="84"/>
      <c r="J70" s="84"/>
      <c r="K70" s="84"/>
      <c r="L70" s="84"/>
      <c r="M70" s="84"/>
      <c r="N70" s="202" t="s">
        <v>172</v>
      </c>
      <c r="O70" s="203" t="s">
        <v>192</v>
      </c>
      <c r="P70" s="202" t="s">
        <v>173</v>
      </c>
      <c r="Q70" s="194" cm="1">
        <f t="array" aca="1" ref="Q70" ca="1">IF(O70="Y",VLOOKUP(N70,INDIRECT(P$4),4,0)*INDIRECT(N$3),VLOOKUP(N70,INDIRECT(P$4),4,0))</f>
        <v>7.7926783853224775</v>
      </c>
      <c r="R70" s="207" t="str">
        <f t="shared" si="19"/>
        <v>SPR</v>
      </c>
      <c r="S70" s="208" t="str">
        <f t="shared" si="19"/>
        <v>Y</v>
      </c>
      <c r="T70" s="207" t="str">
        <f t="shared" si="19"/>
        <v>Perfm 2 Stagehands/</v>
      </c>
      <c r="U70" s="209"/>
      <c r="V70" s="210">
        <f t="shared" ca="1" si="20"/>
        <v>7.7930000000000001</v>
      </c>
      <c r="W70" s="241"/>
    </row>
    <row r="71" spans="1:23" s="86" customFormat="1" x14ac:dyDescent="0.45">
      <c r="A71" s="84"/>
      <c r="B71" s="84"/>
      <c r="C71" s="84"/>
      <c r="D71" s="84"/>
      <c r="E71" s="84"/>
      <c r="F71" s="84"/>
      <c r="G71" s="84"/>
      <c r="H71" s="84"/>
      <c r="I71" s="84"/>
      <c r="J71" s="84"/>
      <c r="K71" s="84"/>
      <c r="L71" s="84"/>
      <c r="M71" s="84"/>
      <c r="N71" s="202" t="s">
        <v>174</v>
      </c>
      <c r="O71" s="203" t="s">
        <v>192</v>
      </c>
      <c r="P71" s="202" t="s">
        <v>175</v>
      </c>
      <c r="Q71" s="194" cm="1">
        <f t="array" aca="1" ref="Q71" ca="1">IF(O71="Y",VLOOKUP(N71,INDIRECT(P$4),4,0)*INDIRECT(N$3),VLOOKUP(N71,INDIRECT(P$4),4,0))</f>
        <v>7.7926783853224775</v>
      </c>
      <c r="R71" s="207" t="str">
        <f t="shared" si="19"/>
        <v>SPT</v>
      </c>
      <c r="S71" s="208" t="str">
        <f t="shared" si="19"/>
        <v>Y</v>
      </c>
      <c r="T71" s="207" t="str">
        <f t="shared" si="19"/>
        <v>Perfm 2 Stagehands/1.5/</v>
      </c>
      <c r="U71" s="209"/>
      <c r="V71" s="210">
        <f t="shared" ca="1" si="20"/>
        <v>7.7930000000000001</v>
      </c>
      <c r="W71" s="241"/>
    </row>
    <row r="72" spans="1:23" s="86" customFormat="1" x14ac:dyDescent="0.45">
      <c r="A72" s="84"/>
      <c r="B72" s="84"/>
      <c r="C72" s="84"/>
      <c r="D72" s="84"/>
      <c r="E72" s="84"/>
      <c r="F72" s="84"/>
      <c r="G72" s="84"/>
      <c r="H72" s="84"/>
      <c r="I72" s="84"/>
      <c r="J72" s="84"/>
      <c r="K72" s="84"/>
      <c r="L72" s="84"/>
      <c r="M72" s="84"/>
      <c r="N72" s="202" t="s">
        <v>176</v>
      </c>
      <c r="O72" s="203" t="s">
        <v>192</v>
      </c>
      <c r="P72" s="202" t="s">
        <v>177</v>
      </c>
      <c r="Q72" s="194" cm="1">
        <f t="array" aca="1" ref="Q72" ca="1">IF(O72="Y",VLOOKUP(N72,INDIRECT(P$4),4,0)*INDIRECT(N$3),VLOOKUP(N72,INDIRECT(P$4),4,0))</f>
        <v>2.1178953787680008</v>
      </c>
      <c r="R72" s="207" t="str">
        <f t="shared" si="19"/>
        <v>STD</v>
      </c>
      <c r="S72" s="208" t="str">
        <f t="shared" si="19"/>
        <v>Y</v>
      </c>
      <c r="T72" s="207" t="str">
        <f t="shared" si="19"/>
        <v>Perfm 1 Stagehands/Dbl</v>
      </c>
      <c r="U72" s="209"/>
      <c r="V72" s="210">
        <f t="shared" ca="1" si="20"/>
        <v>2.1179999999999999</v>
      </c>
      <c r="W72" s="241"/>
    </row>
    <row r="73" spans="1:23" s="86" customFormat="1" x14ac:dyDescent="0.45">
      <c r="A73" s="84"/>
      <c r="B73" s="84"/>
      <c r="C73" s="84"/>
      <c r="D73" s="84"/>
      <c r="E73" s="84"/>
      <c r="F73" s="84"/>
      <c r="G73" s="84"/>
      <c r="H73" s="84"/>
      <c r="I73" s="84"/>
      <c r="J73" s="84"/>
      <c r="K73" s="84"/>
      <c r="L73" s="84"/>
      <c r="M73" s="84"/>
      <c r="N73" s="202" t="s">
        <v>178</v>
      </c>
      <c r="O73" s="203" t="s">
        <v>192</v>
      </c>
      <c r="P73" s="202" t="s">
        <v>179</v>
      </c>
      <c r="Q73" s="194" cm="1">
        <f t="array" aca="1" ref="Q73" ca="1">IF(O73="Y",VLOOKUP(N73,INDIRECT(P$4),4,0)*INDIRECT(N$3),VLOOKUP(N73,INDIRECT(P$4),4,0))</f>
        <v>2.1178953787680008</v>
      </c>
      <c r="R73" s="207" t="str">
        <f t="shared" si="19"/>
        <v>STG</v>
      </c>
      <c r="S73" s="208" t="str">
        <f t="shared" si="19"/>
        <v>Y</v>
      </c>
      <c r="T73" s="207" t="str">
        <f t="shared" si="19"/>
        <v>Perfm 1 Stagehands</v>
      </c>
      <c r="U73" s="209"/>
      <c r="V73" s="210">
        <f t="shared" ca="1" si="20"/>
        <v>2.1179999999999999</v>
      </c>
      <c r="W73" s="241"/>
    </row>
    <row r="74" spans="1:23" s="86" customFormat="1" x14ac:dyDescent="0.45">
      <c r="A74" s="84"/>
      <c r="B74" s="84"/>
      <c r="C74" s="84"/>
      <c r="D74" s="84"/>
      <c r="E74" s="84"/>
      <c r="F74" s="84"/>
      <c r="G74" s="84"/>
      <c r="H74" s="84"/>
      <c r="I74" s="84"/>
      <c r="J74" s="84"/>
      <c r="K74" s="84"/>
      <c r="L74" s="84"/>
      <c r="M74" s="84"/>
      <c r="N74" s="202" t="s">
        <v>180</v>
      </c>
      <c r="O74" s="203" t="s">
        <v>192</v>
      </c>
      <c r="P74" s="202" t="s">
        <v>181</v>
      </c>
      <c r="Q74" s="194" cm="1">
        <f t="array" aca="1" ref="Q74" ca="1">IF(O74="Y",VLOOKUP(N74,INDIRECT(P$4),4,0)*INDIRECT(N$3),VLOOKUP(N74,INDIRECT(P$4),4,0))</f>
        <v>2.1178953787680008</v>
      </c>
      <c r="R74" s="207" t="str">
        <f t="shared" si="19"/>
        <v>STT</v>
      </c>
      <c r="S74" s="208" t="str">
        <f t="shared" si="19"/>
        <v>Y</v>
      </c>
      <c r="T74" s="207" t="str">
        <f t="shared" si="19"/>
        <v>Perfm 1 Stagehands/1.5</v>
      </c>
      <c r="U74" s="209"/>
      <c r="V74" s="210">
        <f t="shared" ca="1" si="20"/>
        <v>2.1179999999999999</v>
      </c>
      <c r="W74" s="241"/>
    </row>
    <row r="75" spans="1:23" s="86" customFormat="1" x14ac:dyDescent="0.45">
      <c r="A75" s="84"/>
      <c r="B75" s="84"/>
      <c r="C75" s="84"/>
      <c r="D75" s="84"/>
      <c r="E75" s="84"/>
      <c r="F75" s="84"/>
      <c r="G75" s="84"/>
      <c r="H75" s="84"/>
      <c r="I75" s="84"/>
      <c r="J75" s="84"/>
      <c r="K75" s="84"/>
      <c r="L75" s="84"/>
      <c r="M75" s="84"/>
      <c r="N75" s="187" t="s">
        <v>204</v>
      </c>
      <c r="O75" s="188" t="s">
        <v>192</v>
      </c>
      <c r="P75" s="184" t="s">
        <v>205</v>
      </c>
      <c r="Q75" s="194" cm="1">
        <f t="array" aca="1" ref="Q75" ca="1">IF(O75="Y",VLOOKUP(N75,INDIRECT(P$4),4,0)*INDIRECT(N$3),VLOOKUP(N75,INDIRECT(P$4),4,0))</f>
        <v>21.677582031920881</v>
      </c>
      <c r="R75" s="207" t="str">
        <f t="shared" si="19"/>
        <v>LRR</v>
      </c>
      <c r="S75" s="208" t="str">
        <f t="shared" si="19"/>
        <v>Y</v>
      </c>
      <c r="T75" s="207" t="str">
        <f t="shared" si="19"/>
        <v>ETCP Lead Rigger- temp</v>
      </c>
      <c r="U75" s="209"/>
      <c r="V75" s="210">
        <f t="shared" ca="1" si="20"/>
        <v>21.678000000000001</v>
      </c>
      <c r="W75" s="241"/>
    </row>
    <row r="76" spans="1:23" s="86" customFormat="1" x14ac:dyDescent="0.45">
      <c r="A76" s="84"/>
      <c r="B76" s="84"/>
      <c r="C76" s="84"/>
      <c r="D76" s="84"/>
      <c r="E76" s="84"/>
      <c r="F76" s="84"/>
      <c r="G76" s="84"/>
      <c r="H76" s="84"/>
      <c r="I76" s="84"/>
      <c r="J76" s="84"/>
      <c r="K76" s="84"/>
      <c r="L76" s="84"/>
      <c r="M76" s="84"/>
      <c r="N76" s="187" t="s">
        <v>206</v>
      </c>
      <c r="O76" s="188" t="s">
        <v>192</v>
      </c>
      <c r="P76" s="184" t="s">
        <v>207</v>
      </c>
      <c r="Q76" s="194" cm="1">
        <f t="array" aca="1" ref="Q76" ca="1">IF(O76="Y",VLOOKUP(N76,INDIRECT(P$4),4,0)*INDIRECT(N$3),VLOOKUP(N76,INDIRECT(P$4),4,0))</f>
        <v>21.677582031920881</v>
      </c>
      <c r="R76" s="207" t="str">
        <f t="shared" si="19"/>
        <v>LRT</v>
      </c>
      <c r="S76" s="208" t="str">
        <f t="shared" si="19"/>
        <v>Y</v>
      </c>
      <c r="T76" s="207" t="str">
        <f t="shared" si="19"/>
        <v>ETCP Lead Rigger- 1.5</v>
      </c>
      <c r="U76" s="209"/>
      <c r="V76" s="210">
        <f t="shared" ca="1" si="20"/>
        <v>21.678000000000001</v>
      </c>
      <c r="W76" s="241"/>
    </row>
    <row r="77" spans="1:23" s="86" customFormat="1" x14ac:dyDescent="0.45">
      <c r="A77" s="84"/>
      <c r="B77" s="84"/>
      <c r="C77" s="84"/>
      <c r="D77" s="84"/>
      <c r="E77" s="84"/>
      <c r="F77" s="84"/>
      <c r="G77" s="84"/>
      <c r="H77" s="84"/>
      <c r="I77" s="84"/>
      <c r="J77" s="84"/>
      <c r="K77" s="84"/>
      <c r="L77" s="84"/>
      <c r="M77" s="84"/>
      <c r="N77" s="187" t="s">
        <v>208</v>
      </c>
      <c r="O77" s="188" t="s">
        <v>192</v>
      </c>
      <c r="P77" s="184" t="s">
        <v>209</v>
      </c>
      <c r="Q77" s="194" cm="1">
        <f t="array" aca="1" ref="Q77" ca="1">IF(O77="Y",VLOOKUP(N77,INDIRECT(P$4),4,0)*INDIRECT(N$3),VLOOKUP(N77,INDIRECT(P$4),4,0))</f>
        <v>21.677582031920881</v>
      </c>
      <c r="R77" s="207" t="str">
        <f t="shared" si="19"/>
        <v>LRD</v>
      </c>
      <c r="S77" s="208" t="str">
        <f t="shared" si="19"/>
        <v>Y</v>
      </c>
      <c r="T77" s="207" t="str">
        <f t="shared" si="19"/>
        <v>ETCP Lead Rigger@2</v>
      </c>
      <c r="U77" s="209"/>
      <c r="V77" s="210">
        <f t="shared" ca="1" si="20"/>
        <v>21.678000000000001</v>
      </c>
      <c r="W77" s="241"/>
    </row>
  </sheetData>
  <sheetProtection sheet="1" objects="1" scenarios="1"/>
  <mergeCells count="3">
    <mergeCell ref="A47:J47"/>
    <mergeCell ref="A55:J55"/>
    <mergeCell ref="A59:J59"/>
  </mergeCells>
  <pageMargins left="0.28999999999999998" right="0" top="0.34" bottom="0.25" header="0.19" footer="0.26"/>
  <pageSetup orientation="landscape" r:id="rId1"/>
  <headerFooter alignWithMargins="0">
    <oddFooter>&amp;L&amp;8Last Updated:  &amp;D&amp;R&amp;8Page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869FF-9295-479C-978F-BBB01C17F4CC}">
  <sheetPr codeName="Sheet9"/>
  <dimension ref="A1:C9"/>
  <sheetViews>
    <sheetView workbookViewId="0">
      <selection activeCell="A10" sqref="A10"/>
    </sheetView>
  </sheetViews>
  <sheetFormatPr defaultRowHeight="12.75" x14ac:dyDescent="0.35"/>
  <cols>
    <col min="2" max="2" width="11.86328125" bestFit="1" customWidth="1"/>
    <col min="3" max="3" width="141.73046875" bestFit="1" customWidth="1"/>
  </cols>
  <sheetData>
    <row r="1" spans="1:3" x14ac:dyDescent="0.35">
      <c r="A1" s="81" t="s">
        <v>218</v>
      </c>
      <c r="B1" s="81" t="s">
        <v>219</v>
      </c>
      <c r="C1" s="81" t="s">
        <v>220</v>
      </c>
    </row>
    <row r="2" spans="1:3" x14ac:dyDescent="0.35">
      <c r="A2" t="s">
        <v>221</v>
      </c>
      <c r="B2" t="s">
        <v>222</v>
      </c>
      <c r="C2" t="s">
        <v>223</v>
      </c>
    </row>
    <row r="3" spans="1:3" x14ac:dyDescent="0.35">
      <c r="A3" t="s">
        <v>221</v>
      </c>
      <c r="B3" t="s">
        <v>222</v>
      </c>
      <c r="C3" t="s">
        <v>224</v>
      </c>
    </row>
    <row r="4" spans="1:3" x14ac:dyDescent="0.35">
      <c r="C4" s="78" t="s">
        <v>225</v>
      </c>
    </row>
    <row r="5" spans="1:3" x14ac:dyDescent="0.35">
      <c r="C5" s="78" t="s">
        <v>226</v>
      </c>
    </row>
    <row r="6" spans="1:3" ht="25.5" x14ac:dyDescent="0.35">
      <c r="A6" s="79">
        <v>43840</v>
      </c>
      <c r="B6" t="s">
        <v>227</v>
      </c>
      <c r="C6" s="80" t="s">
        <v>228</v>
      </c>
    </row>
    <row r="7" spans="1:3" x14ac:dyDescent="0.35">
      <c r="A7" s="79">
        <v>43840</v>
      </c>
      <c r="B7" t="s">
        <v>227</v>
      </c>
      <c r="C7" t="s">
        <v>229</v>
      </c>
    </row>
    <row r="8" spans="1:3" x14ac:dyDescent="0.35">
      <c r="C8" t="s">
        <v>230</v>
      </c>
    </row>
    <row r="9" spans="1:3" x14ac:dyDescent="0.35">
      <c r="A9" s="79">
        <v>44034</v>
      </c>
      <c r="B9" t="s">
        <v>227</v>
      </c>
      <c r="C9" t="s">
        <v>231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A53"/>
  <sheetViews>
    <sheetView workbookViewId="0">
      <selection activeCell="H10" sqref="H10"/>
    </sheetView>
  </sheetViews>
  <sheetFormatPr defaultColWidth="5.59765625" defaultRowHeight="14.25" x14ac:dyDescent="0.45"/>
  <cols>
    <col min="1" max="1" width="5.59765625" style="1" customWidth="1"/>
    <col min="2" max="2" width="7.73046875" style="1" customWidth="1"/>
    <col min="3" max="3" width="9.86328125" style="1" customWidth="1"/>
    <col min="4" max="4" width="49.3984375" style="1" bestFit="1" customWidth="1"/>
    <col min="5" max="5" width="4.1328125" style="1" bestFit="1" customWidth="1"/>
    <col min="6" max="6" width="2.3984375" style="1" bestFit="1" customWidth="1"/>
    <col min="7" max="7" width="2.73046875" style="1" bestFit="1" customWidth="1"/>
    <col min="8" max="8" width="11.265625" style="1" bestFit="1" customWidth="1"/>
    <col min="9" max="9" width="8.86328125" style="1" customWidth="1"/>
    <col min="10" max="10" width="7.265625" style="1" customWidth="1"/>
    <col min="11" max="11" width="5.59765625" style="1"/>
    <col min="12" max="12" width="8.59765625" style="1" customWidth="1"/>
    <col min="13" max="13" width="5.59765625" style="1"/>
    <col min="14" max="18" width="5.59765625" style="5"/>
    <col min="19" max="19" width="9" style="5" customWidth="1"/>
    <col min="20" max="20" width="34.86328125" style="5" bestFit="1" customWidth="1"/>
    <col min="21" max="23" width="5.59765625" style="5"/>
    <col min="24" max="24" width="8.265625" style="5" customWidth="1"/>
    <col min="25" max="25" width="9.3984375" style="5" customWidth="1"/>
    <col min="26" max="27" width="5.59765625" style="5"/>
    <col min="28" max="16384" width="5.59765625" style="1"/>
  </cols>
  <sheetData>
    <row r="1" spans="1:11" ht="15.75" x14ac:dyDescent="0.5">
      <c r="A1" s="45" t="s">
        <v>26</v>
      </c>
      <c r="B1" s="3"/>
      <c r="C1" s="3"/>
      <c r="G1" s="4" t="s">
        <v>27</v>
      </c>
      <c r="H1" s="3"/>
    </row>
    <row r="2" spans="1:11" x14ac:dyDescent="0.45">
      <c r="A2" s="2" t="s">
        <v>28</v>
      </c>
      <c r="B2" s="3"/>
      <c r="C2" s="3"/>
      <c r="H2" s="3"/>
    </row>
    <row r="3" spans="1:11" x14ac:dyDescent="0.45">
      <c r="A3" s="6" t="s">
        <v>29</v>
      </c>
      <c r="B3" s="3"/>
      <c r="C3" s="3"/>
      <c r="H3" s="3"/>
    </row>
    <row r="4" spans="1:11" ht="10.5" customHeight="1" x14ac:dyDescent="0.45">
      <c r="A4" s="2"/>
      <c r="B4" s="3"/>
      <c r="C4" s="3"/>
      <c r="H4" s="3"/>
    </row>
    <row r="5" spans="1:11" x14ac:dyDescent="0.45">
      <c r="A5" s="2" t="s">
        <v>30</v>
      </c>
      <c r="B5" s="3"/>
      <c r="C5" s="3"/>
      <c r="H5" s="3"/>
    </row>
    <row r="6" spans="1:11" ht="28.5" x14ac:dyDescent="0.45">
      <c r="A6" s="43" t="s">
        <v>31</v>
      </c>
      <c r="B6" s="43" t="s">
        <v>32</v>
      </c>
      <c r="C6" s="7" t="s">
        <v>33</v>
      </c>
      <c r="D6" s="8" t="s">
        <v>34</v>
      </c>
      <c r="E6" s="7" t="s">
        <v>35</v>
      </c>
      <c r="F6" s="7" t="s">
        <v>36</v>
      </c>
      <c r="G6" s="7" t="s">
        <v>37</v>
      </c>
      <c r="H6" s="7" t="s">
        <v>38</v>
      </c>
      <c r="I6" s="9"/>
      <c r="J6" s="9"/>
    </row>
    <row r="7" spans="1:11" x14ac:dyDescent="0.45">
      <c r="A7" s="10" t="s">
        <v>39</v>
      </c>
      <c r="B7" s="53" t="s">
        <v>40</v>
      </c>
      <c r="C7" s="10" t="s">
        <v>19</v>
      </c>
      <c r="D7" s="1" t="s">
        <v>41</v>
      </c>
      <c r="E7" s="12">
        <v>293</v>
      </c>
      <c r="F7" s="10">
        <v>6</v>
      </c>
      <c r="G7" s="10" t="s">
        <v>42</v>
      </c>
      <c r="H7" s="13">
        <v>29.964963299273762</v>
      </c>
    </row>
    <row r="8" spans="1:11" x14ac:dyDescent="0.45">
      <c r="A8" s="10" t="s">
        <v>39</v>
      </c>
      <c r="B8" s="53" t="s">
        <v>43</v>
      </c>
      <c r="C8" s="10" t="s">
        <v>23</v>
      </c>
      <c r="D8" s="1" t="s">
        <v>44</v>
      </c>
      <c r="E8" s="1">
        <v>323</v>
      </c>
      <c r="F8" s="3">
        <v>7</v>
      </c>
      <c r="G8" s="3" t="s">
        <v>42</v>
      </c>
      <c r="H8" s="13">
        <v>33.363051920840888</v>
      </c>
    </row>
    <row r="9" spans="1:11" ht="9" customHeight="1" x14ac:dyDescent="0.45">
      <c r="F9" s="3"/>
      <c r="G9" s="3"/>
      <c r="H9" s="13"/>
    </row>
    <row r="10" spans="1:11" ht="12" customHeight="1" x14ac:dyDescent="0.45">
      <c r="A10" s="44"/>
      <c r="B10" s="44" t="s">
        <v>45</v>
      </c>
      <c r="D10" s="4" t="s">
        <v>46</v>
      </c>
      <c r="F10" s="3"/>
      <c r="G10" s="10" t="s">
        <v>42</v>
      </c>
      <c r="H10" s="13">
        <v>11.635871475782457</v>
      </c>
    </row>
    <row r="11" spans="1:11" ht="12" customHeight="1" x14ac:dyDescent="0.45">
      <c r="A11" s="10"/>
      <c r="C11" s="10"/>
      <c r="D11" s="68" t="s">
        <v>47</v>
      </c>
      <c r="G11" s="10"/>
      <c r="H11" s="14"/>
    </row>
    <row r="12" spans="1:11" ht="8.25" customHeight="1" x14ac:dyDescent="0.45">
      <c r="C12" s="3"/>
      <c r="H12" s="3" t="s">
        <v>48</v>
      </c>
    </row>
    <row r="13" spans="1:11" ht="12" customHeight="1" x14ac:dyDescent="0.45">
      <c r="A13" s="15" t="s">
        <v>49</v>
      </c>
      <c r="B13" s="4"/>
      <c r="C13" s="3"/>
      <c r="H13" s="3"/>
    </row>
    <row r="14" spans="1:11" ht="12" customHeight="1" x14ac:dyDescent="0.45">
      <c r="A14" s="4" t="s">
        <v>50</v>
      </c>
      <c r="C14" s="13"/>
      <c r="H14" s="3"/>
      <c r="K14" s="16"/>
    </row>
    <row r="15" spans="1:11" ht="12" customHeight="1" x14ac:dyDescent="0.45">
      <c r="B15" s="4"/>
      <c r="C15" s="13"/>
      <c r="H15" s="3"/>
      <c r="K15" s="16"/>
    </row>
    <row r="16" spans="1:11" ht="12" customHeight="1" x14ac:dyDescent="0.45">
      <c r="A16" s="4" t="s">
        <v>51</v>
      </c>
      <c r="C16" s="13"/>
      <c r="H16" s="3"/>
      <c r="K16" s="16"/>
    </row>
    <row r="17" spans="1:26" s="5" customFormat="1" ht="12" customHeight="1" x14ac:dyDescent="0.45">
      <c r="A17" s="1"/>
      <c r="B17" s="4" t="s">
        <v>52</v>
      </c>
      <c r="C17" s="13"/>
      <c r="D17" s="1"/>
      <c r="E17" s="1"/>
      <c r="F17" s="1"/>
      <c r="G17" s="1"/>
      <c r="H17" s="3"/>
      <c r="I17" s="1"/>
      <c r="J17" s="1"/>
      <c r="K17" s="16"/>
      <c r="L17" s="1"/>
      <c r="M17" s="1"/>
    </row>
    <row r="18" spans="1:26" s="17" customFormat="1" ht="8.25" customHeight="1" x14ac:dyDescent="0.45"/>
    <row r="19" spans="1:26" s="5" customFormat="1" ht="12" customHeight="1" x14ac:dyDescent="0.45">
      <c r="A19" s="15" t="s">
        <v>53</v>
      </c>
      <c r="B19" s="1"/>
      <c r="C19" s="13"/>
      <c r="D19" s="1"/>
      <c r="E19" s="1"/>
      <c r="F19" s="1"/>
      <c r="G19" s="1"/>
      <c r="H19" s="3"/>
      <c r="I19" s="1"/>
      <c r="J19" s="1"/>
      <c r="K19" s="16"/>
      <c r="L19" s="1"/>
      <c r="M19" s="1"/>
    </row>
    <row r="20" spans="1:26" s="5" customFormat="1" ht="18.75" customHeight="1" x14ac:dyDescent="0.45">
      <c r="A20" s="4" t="s">
        <v>54</v>
      </c>
      <c r="B20" s="4"/>
      <c r="C20" s="13"/>
      <c r="D20" s="1"/>
      <c r="E20" s="1"/>
      <c r="F20" s="1"/>
      <c r="G20" s="1"/>
      <c r="H20" s="3"/>
      <c r="I20" s="1"/>
      <c r="J20" s="1"/>
      <c r="K20" s="16"/>
      <c r="L20" s="1"/>
      <c r="M20" s="1"/>
    </row>
    <row r="21" spans="1:26" s="5" customFormat="1" ht="12" customHeight="1" x14ac:dyDescent="0.45">
      <c r="A21" s="4"/>
      <c r="B21" s="4"/>
      <c r="C21" s="13"/>
      <c r="D21" s="1"/>
      <c r="E21" s="1"/>
      <c r="F21" s="1"/>
      <c r="G21" s="1"/>
      <c r="H21" s="3"/>
      <c r="I21" s="1"/>
      <c r="J21" s="1"/>
      <c r="K21" s="16"/>
      <c r="L21" s="1"/>
      <c r="M21" s="1"/>
    </row>
    <row r="22" spans="1:26" s="5" customFormat="1" ht="17.25" customHeight="1" x14ac:dyDescent="0.45">
      <c r="A22" s="15" t="s">
        <v>55</v>
      </c>
      <c r="C22" s="18"/>
      <c r="D22" s="15"/>
      <c r="E22" s="15"/>
      <c r="F22" s="15"/>
      <c r="G22" s="1"/>
      <c r="H22" s="3"/>
      <c r="I22" s="1"/>
      <c r="J22" s="1"/>
      <c r="K22" s="16"/>
      <c r="L22" s="1"/>
      <c r="M22" s="1"/>
    </row>
    <row r="23" spans="1:26" s="5" customFormat="1" ht="16.5" customHeight="1" x14ac:dyDescent="0.45">
      <c r="A23" s="1" t="s">
        <v>56</v>
      </c>
      <c r="C23" s="3"/>
      <c r="D23" s="1"/>
      <c r="E23" s="1"/>
      <c r="F23" s="1"/>
      <c r="G23" s="1"/>
      <c r="H23" s="3"/>
      <c r="I23" s="1"/>
      <c r="J23" s="1"/>
      <c r="K23" s="16"/>
      <c r="L23" s="1"/>
      <c r="M23" s="1"/>
    </row>
    <row r="24" spans="1:26" s="5" customFormat="1" ht="16.5" customHeight="1" x14ac:dyDescent="0.45">
      <c r="A24" s="1"/>
      <c r="B24" s="13">
        <v>0.12084542246420849</v>
      </c>
      <c r="C24" s="19" t="s">
        <v>57</v>
      </c>
      <c r="D24" s="19"/>
      <c r="E24" s="1"/>
      <c r="F24" s="1"/>
      <c r="G24" s="1"/>
      <c r="H24" s="1"/>
      <c r="I24" s="1"/>
      <c r="J24" s="1"/>
      <c r="K24" s="16"/>
      <c r="L24" s="1"/>
      <c r="M24" s="1"/>
    </row>
    <row r="25" spans="1:26" s="5" customFormat="1" ht="16.5" customHeight="1" x14ac:dyDescent="0.45">
      <c r="A25" s="1"/>
      <c r="B25" s="13">
        <v>0.29311442895573964</v>
      </c>
      <c r="C25" s="19" t="s">
        <v>58</v>
      </c>
      <c r="D25" s="19"/>
      <c r="E25" s="1"/>
      <c r="F25" s="1"/>
      <c r="G25" s="1"/>
      <c r="H25" s="1"/>
      <c r="I25" s="1"/>
      <c r="J25" s="1"/>
      <c r="K25" s="16"/>
      <c r="L25" s="1"/>
      <c r="M25" s="1"/>
    </row>
    <row r="26" spans="1:26" s="5" customFormat="1" ht="16.5" customHeight="1" x14ac:dyDescent="0.45">
      <c r="A26" s="1"/>
      <c r="B26" s="13">
        <v>0.36125067779194253</v>
      </c>
      <c r="C26" s="19" t="s">
        <v>59</v>
      </c>
      <c r="D26" s="19"/>
      <c r="E26" s="1"/>
      <c r="F26" s="1"/>
      <c r="G26" s="1"/>
      <c r="H26" s="1"/>
      <c r="I26" s="1"/>
      <c r="J26" s="1"/>
      <c r="K26" s="16"/>
      <c r="L26" s="1"/>
      <c r="M26" s="1"/>
    </row>
    <row r="27" spans="1:26" s="5" customFormat="1" ht="16.5" customHeight="1" x14ac:dyDescent="0.45">
      <c r="A27" s="1"/>
      <c r="B27" s="13">
        <v>0.64279480034153447</v>
      </c>
      <c r="C27" s="19" t="s">
        <v>60</v>
      </c>
      <c r="D27" s="19"/>
      <c r="E27" s="1"/>
      <c r="F27" s="1"/>
      <c r="G27" s="1"/>
      <c r="H27" s="1"/>
      <c r="I27" s="1"/>
      <c r="J27" s="1"/>
      <c r="K27" s="16"/>
      <c r="L27" s="1"/>
      <c r="M27" s="1"/>
    </row>
    <row r="28" spans="1:26" s="5" customFormat="1" ht="16.5" customHeight="1" x14ac:dyDescent="0.45">
      <c r="A28" s="1"/>
      <c r="B28" s="13"/>
      <c r="C28" s="19"/>
      <c r="D28" s="19"/>
      <c r="E28" s="1"/>
      <c r="F28" s="1"/>
      <c r="G28" s="1"/>
      <c r="H28" s="1"/>
      <c r="I28" s="1"/>
      <c r="J28" s="1"/>
      <c r="K28" s="16"/>
      <c r="L28" s="1"/>
      <c r="M28" s="1"/>
    </row>
    <row r="29" spans="1:26" s="5" customFormat="1" ht="10.5" customHeight="1" x14ac:dyDescent="0.45">
      <c r="A29" s="66"/>
      <c r="B29" s="66"/>
      <c r="C29" s="67"/>
      <c r="D29" s="67"/>
      <c r="E29" s="66"/>
      <c r="F29" s="66"/>
      <c r="G29" s="66"/>
      <c r="H29" s="67"/>
      <c r="I29" s="66"/>
      <c r="J29" s="66"/>
      <c r="K29" s="16"/>
      <c r="L29" s="1"/>
      <c r="M29" s="1"/>
    </row>
    <row r="30" spans="1:26" s="5" customFormat="1" ht="15.75" customHeight="1" x14ac:dyDescent="0.45">
      <c r="A30" s="15" t="s">
        <v>61</v>
      </c>
      <c r="B30" s="16"/>
      <c r="C30" s="22"/>
      <c r="D30" s="22"/>
      <c r="E30" s="16"/>
      <c r="F30" s="16"/>
      <c r="G30" s="16"/>
      <c r="H30" s="22"/>
      <c r="I30" s="16"/>
      <c r="J30" s="16"/>
      <c r="K30" s="16"/>
      <c r="L30" s="1"/>
      <c r="M30" s="1"/>
    </row>
    <row r="31" spans="1:26" s="5" customFormat="1" x14ac:dyDescent="0.45">
      <c r="A31" s="6" t="s">
        <v>29</v>
      </c>
      <c r="B31" s="16"/>
      <c r="C31" s="22"/>
      <c r="D31" s="22"/>
      <c r="E31" s="16"/>
      <c r="F31" s="16"/>
      <c r="G31" s="16"/>
      <c r="H31" s="22"/>
      <c r="I31" s="16"/>
      <c r="J31" s="16"/>
      <c r="K31" s="16"/>
      <c r="L31" s="1"/>
      <c r="M31" s="1"/>
      <c r="Q31" s="23"/>
      <c r="R31" s="24"/>
      <c r="S31" s="25"/>
      <c r="T31" s="25"/>
      <c r="U31" s="24"/>
      <c r="V31" s="24"/>
      <c r="W31" s="24"/>
      <c r="X31" s="25"/>
      <c r="Y31" s="24"/>
      <c r="Z31" s="24"/>
    </row>
    <row r="32" spans="1:26" s="5" customFormat="1" x14ac:dyDescent="0.45">
      <c r="B32" s="3"/>
      <c r="C32" s="3"/>
      <c r="D32" s="1"/>
      <c r="E32" s="1"/>
      <c r="F32" s="1"/>
      <c r="G32" s="1"/>
      <c r="H32" s="3"/>
      <c r="I32" s="1"/>
      <c r="J32" s="1"/>
      <c r="K32" s="16"/>
      <c r="L32" s="1"/>
      <c r="M32" s="1"/>
      <c r="Q32" s="26"/>
      <c r="R32" s="27"/>
      <c r="S32" s="27"/>
      <c r="X32" s="27"/>
    </row>
    <row r="33" spans="1:26" s="5" customFormat="1" ht="45.75" customHeight="1" x14ac:dyDescent="0.45">
      <c r="A33" s="7" t="s">
        <v>2</v>
      </c>
      <c r="B33" s="43" t="s">
        <v>32</v>
      </c>
      <c r="C33" s="7" t="s">
        <v>33</v>
      </c>
      <c r="D33" s="8" t="s">
        <v>34</v>
      </c>
      <c r="E33" s="7" t="s">
        <v>35</v>
      </c>
      <c r="F33" s="7" t="s">
        <v>36</v>
      </c>
      <c r="G33" s="7" t="s">
        <v>37</v>
      </c>
      <c r="H33" s="7" t="s">
        <v>62</v>
      </c>
      <c r="I33" s="28" t="s">
        <v>63</v>
      </c>
      <c r="J33" s="9"/>
      <c r="K33" s="9"/>
      <c r="L33" s="16"/>
      <c r="M33" s="1"/>
      <c r="Q33" s="29"/>
      <c r="R33" s="29"/>
      <c r="S33" s="29"/>
      <c r="T33" s="30"/>
      <c r="U33" s="29"/>
      <c r="V33" s="29"/>
      <c r="W33" s="29"/>
      <c r="X33" s="29"/>
      <c r="Y33" s="31"/>
      <c r="Z33" s="23"/>
    </row>
    <row r="34" spans="1:26" s="5" customFormat="1" x14ac:dyDescent="0.45">
      <c r="A34" s="10" t="s">
        <v>39</v>
      </c>
      <c r="B34" s="11" t="s">
        <v>64</v>
      </c>
      <c r="C34" s="10" t="s">
        <v>65</v>
      </c>
      <c r="D34" s="4" t="s">
        <v>66</v>
      </c>
      <c r="E34" s="12"/>
      <c r="F34" s="12"/>
      <c r="G34" s="10" t="s">
        <v>42</v>
      </c>
      <c r="H34" s="13" t="s">
        <v>67</v>
      </c>
      <c r="I34" s="13">
        <v>23.611370012273362</v>
      </c>
      <c r="J34" s="1"/>
      <c r="K34" s="1"/>
      <c r="L34" s="1"/>
      <c r="M34" s="1"/>
      <c r="Q34" s="32"/>
      <c r="R34" s="33"/>
      <c r="S34" s="32"/>
      <c r="T34" s="34"/>
      <c r="U34" s="35"/>
      <c r="V34" s="35"/>
      <c r="W34" s="32"/>
      <c r="X34" s="36"/>
      <c r="Y34" s="36"/>
      <c r="Z34" s="24"/>
    </row>
    <row r="35" spans="1:26" s="5" customFormat="1" x14ac:dyDescent="0.45">
      <c r="A35" s="10"/>
      <c r="B35" s="11"/>
      <c r="C35" s="10" t="s">
        <v>62</v>
      </c>
      <c r="D35" s="4" t="s">
        <v>68</v>
      </c>
      <c r="E35" s="12"/>
      <c r="F35" s="12"/>
      <c r="G35" s="10" t="s">
        <v>42</v>
      </c>
      <c r="H35" s="13">
        <v>1.6063442060534949</v>
      </c>
      <c r="I35" s="13">
        <v>25.217714218326858</v>
      </c>
      <c r="J35" s="1"/>
      <c r="K35" s="1"/>
      <c r="L35" s="1"/>
      <c r="M35" s="1"/>
      <c r="Q35" s="32"/>
      <c r="R35" s="33"/>
      <c r="S35" s="32"/>
      <c r="T35" s="34"/>
      <c r="U35" s="35"/>
      <c r="V35" s="35"/>
      <c r="W35" s="32"/>
      <c r="X35" s="36"/>
      <c r="Y35" s="36"/>
      <c r="Z35" s="24"/>
    </row>
    <row r="36" spans="1:26" s="5" customFormat="1" x14ac:dyDescent="0.45">
      <c r="A36" s="10"/>
      <c r="B36" s="11"/>
      <c r="C36" s="10" t="s">
        <v>62</v>
      </c>
      <c r="D36" s="4" t="s">
        <v>69</v>
      </c>
      <c r="E36" s="12"/>
      <c r="F36" s="12"/>
      <c r="G36" s="10" t="s">
        <v>42</v>
      </c>
      <c r="H36" s="13">
        <v>5.9113466782768622</v>
      </c>
      <c r="I36" s="13">
        <v>29.522716690550222</v>
      </c>
      <c r="J36" s="1"/>
      <c r="K36" s="1"/>
      <c r="L36" s="1"/>
      <c r="M36" s="1"/>
      <c r="Q36" s="37"/>
      <c r="R36" s="38"/>
      <c r="S36" s="37"/>
      <c r="T36" s="39"/>
      <c r="U36" s="40"/>
      <c r="V36" s="40"/>
      <c r="W36" s="37"/>
      <c r="X36" s="41"/>
      <c r="Y36" s="41"/>
    </row>
    <row r="37" spans="1:26" s="5" customFormat="1" x14ac:dyDescent="0.45">
      <c r="A37" s="3"/>
      <c r="B37" s="11"/>
      <c r="C37" s="10" t="s">
        <v>62</v>
      </c>
      <c r="D37" s="4" t="s">
        <v>70</v>
      </c>
      <c r="E37" s="1"/>
      <c r="F37" s="1"/>
      <c r="G37" s="10" t="s">
        <v>42</v>
      </c>
      <c r="H37" s="13">
        <v>14.693954882511299</v>
      </c>
      <c r="I37" s="13">
        <v>38.305324894784661</v>
      </c>
      <c r="J37" s="1"/>
      <c r="K37" s="1"/>
      <c r="L37" s="1"/>
      <c r="M37" s="1"/>
      <c r="Q37" s="27"/>
      <c r="R37" s="38"/>
      <c r="S37" s="37"/>
      <c r="T37" s="39"/>
      <c r="W37" s="37"/>
      <c r="X37" s="41"/>
      <c r="Y37" s="41"/>
    </row>
    <row r="38" spans="1:26" s="5" customFormat="1" x14ac:dyDescent="0.45">
      <c r="A38" s="1"/>
      <c r="C38" s="3"/>
      <c r="D38" s="68" t="s">
        <v>71</v>
      </c>
      <c r="E38" s="1"/>
      <c r="F38" s="1"/>
      <c r="G38" s="1"/>
      <c r="H38" s="1"/>
      <c r="I38" s="1"/>
      <c r="J38" s="1"/>
      <c r="K38" s="1"/>
      <c r="L38" s="1"/>
      <c r="M38" s="1"/>
      <c r="R38" s="39"/>
      <c r="S38" s="27"/>
    </row>
    <row r="39" spans="1:26" s="5" customFormat="1" x14ac:dyDescent="0.45">
      <c r="A39" s="1"/>
      <c r="B39" s="1"/>
      <c r="C39" s="10" t="s">
        <v>62</v>
      </c>
      <c r="D39" s="4" t="s">
        <v>72</v>
      </c>
      <c r="E39" s="1"/>
      <c r="F39" s="1"/>
      <c r="G39" s="10" t="s">
        <v>73</v>
      </c>
      <c r="H39" s="13">
        <v>6.9649976508047509</v>
      </c>
      <c r="I39" s="13">
        <v>30.576367663078113</v>
      </c>
      <c r="J39" s="1"/>
      <c r="K39" s="1"/>
      <c r="L39" s="1"/>
      <c r="M39" s="1"/>
      <c r="S39" s="37"/>
      <c r="T39" s="39"/>
      <c r="W39" s="37"/>
      <c r="X39" s="42"/>
      <c r="Y39" s="41"/>
    </row>
    <row r="40" spans="1:26" ht="9" customHeight="1" x14ac:dyDescent="0.45"/>
    <row r="41" spans="1:26" s="5" customFormat="1" x14ac:dyDescent="0.45">
      <c r="A41" s="15" t="s">
        <v>74</v>
      </c>
      <c r="C41" s="1"/>
      <c r="D41" s="1"/>
      <c r="E41" s="1"/>
      <c r="F41" s="1"/>
      <c r="G41" s="1"/>
      <c r="H41" s="1"/>
      <c r="I41" s="1"/>
      <c r="J41" s="1"/>
      <c r="K41" s="1"/>
      <c r="L41" s="1"/>
      <c r="M41" s="1"/>
    </row>
    <row r="42" spans="1:26" s="5" customFormat="1" x14ac:dyDescent="0.45">
      <c r="A42" s="1" t="s">
        <v>75</v>
      </c>
      <c r="C42" s="1"/>
      <c r="D42" s="1"/>
      <c r="E42" s="1"/>
      <c r="F42" s="1"/>
      <c r="G42" s="1"/>
      <c r="H42" s="1"/>
      <c r="I42" s="1"/>
      <c r="J42" s="1"/>
      <c r="K42" s="1"/>
      <c r="L42" s="1"/>
      <c r="M42" s="1"/>
    </row>
    <row r="43" spans="1:26" s="5" customFormat="1" x14ac:dyDescent="0.45">
      <c r="A43" s="1" t="s">
        <v>76</v>
      </c>
      <c r="C43" s="1"/>
      <c r="D43" s="1"/>
      <c r="E43" s="1"/>
      <c r="F43" s="1"/>
      <c r="G43" s="1"/>
      <c r="H43" s="1"/>
      <c r="I43" s="1"/>
      <c r="J43" s="1"/>
      <c r="K43" s="1"/>
      <c r="L43" s="1"/>
      <c r="M43" s="1"/>
    </row>
    <row r="44" spans="1:26" s="5" customFormat="1" x14ac:dyDescent="0.45">
      <c r="A44" s="1" t="s">
        <v>77</v>
      </c>
      <c r="C44" s="1"/>
      <c r="D44" s="1"/>
      <c r="E44" s="1"/>
      <c r="F44" s="1"/>
      <c r="G44" s="1"/>
      <c r="H44" s="1"/>
      <c r="I44" s="1"/>
      <c r="J44" s="1"/>
      <c r="K44" s="1"/>
      <c r="L44" s="1"/>
      <c r="M44" s="1"/>
    </row>
    <row r="45" spans="1:26" ht="9" customHeight="1" x14ac:dyDescent="0.45"/>
    <row r="46" spans="1:26" s="5" customFormat="1" x14ac:dyDescent="0.45">
      <c r="A46" s="15" t="s">
        <v>78</v>
      </c>
      <c r="C46" s="1"/>
      <c r="D46" s="1"/>
      <c r="E46" s="1"/>
      <c r="F46" s="1"/>
      <c r="G46" s="1"/>
      <c r="H46" s="1"/>
      <c r="I46" s="1"/>
      <c r="J46" s="1"/>
      <c r="K46" s="1"/>
      <c r="L46" s="1"/>
      <c r="M46" s="1"/>
    </row>
    <row r="47" spans="1:26" s="5" customFormat="1" x14ac:dyDescent="0.45">
      <c r="A47" s="1" t="s">
        <v>75</v>
      </c>
      <c r="C47" s="1"/>
      <c r="D47" s="1"/>
      <c r="E47" s="1"/>
      <c r="F47" s="1"/>
      <c r="G47" s="1"/>
      <c r="H47" s="1"/>
      <c r="I47" s="1"/>
      <c r="J47" s="1"/>
      <c r="K47" s="1"/>
      <c r="L47" s="1"/>
      <c r="M47" s="1"/>
    </row>
    <row r="48" spans="1:26" s="5" customFormat="1" x14ac:dyDescent="0.45">
      <c r="A48" s="1" t="s">
        <v>79</v>
      </c>
      <c r="C48" s="1"/>
      <c r="D48" s="1"/>
      <c r="E48" s="1"/>
      <c r="F48" s="1"/>
      <c r="G48" s="1"/>
      <c r="H48" s="1"/>
      <c r="I48" s="1"/>
      <c r="J48" s="1"/>
      <c r="K48" s="1"/>
      <c r="L48" s="1"/>
      <c r="M48" s="1"/>
    </row>
    <row r="49" spans="1:13" s="5" customFormat="1" x14ac:dyDescent="0.45">
      <c r="A49" s="1" t="s">
        <v>80</v>
      </c>
      <c r="C49" s="1"/>
      <c r="D49" s="1"/>
      <c r="E49" s="1"/>
      <c r="F49" s="1"/>
      <c r="G49" s="1"/>
      <c r="H49" s="1"/>
      <c r="I49" s="1"/>
      <c r="J49" s="1"/>
      <c r="K49" s="1"/>
      <c r="L49" s="1"/>
      <c r="M49" s="1"/>
    </row>
    <row r="50" spans="1:13" s="5" customFormat="1" x14ac:dyDescent="0.45">
      <c r="A50" s="1" t="s">
        <v>81</v>
      </c>
      <c r="C50" s="1"/>
      <c r="D50" s="1"/>
      <c r="E50" s="1"/>
      <c r="F50" s="1"/>
      <c r="G50" s="1"/>
      <c r="H50" s="1"/>
      <c r="I50" s="1"/>
      <c r="J50" s="1"/>
      <c r="K50" s="1"/>
      <c r="L50" s="1"/>
      <c r="M50" s="1"/>
    </row>
    <row r="52" spans="1:13" x14ac:dyDescent="0.45">
      <c r="A52" s="6"/>
      <c r="B52" s="16"/>
      <c r="C52" s="22"/>
      <c r="D52" s="22"/>
    </row>
    <row r="53" spans="1:13" x14ac:dyDescent="0.45">
      <c r="A53" s="15"/>
      <c r="B53" s="3"/>
      <c r="C53" s="3"/>
    </row>
  </sheetData>
  <pageMargins left="0.5" right="0" top="1" bottom="0.25" header="0.5" footer="0.5"/>
  <pageSetup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A56"/>
  <sheetViews>
    <sheetView topLeftCell="A7" workbookViewId="0">
      <selection activeCell="H10" sqref="H10"/>
    </sheetView>
  </sheetViews>
  <sheetFormatPr defaultColWidth="5.59765625" defaultRowHeight="14.25" x14ac:dyDescent="0.45"/>
  <cols>
    <col min="1" max="1" width="5.59765625" style="1" customWidth="1"/>
    <col min="2" max="2" width="7.73046875" style="1" customWidth="1"/>
    <col min="3" max="3" width="9.86328125" style="1" customWidth="1"/>
    <col min="4" max="4" width="47.3984375" style="1" customWidth="1"/>
    <col min="5" max="5" width="0.1328125" style="1" customWidth="1"/>
    <col min="6" max="6" width="2.3984375" style="1" hidden="1" customWidth="1"/>
    <col min="7" max="7" width="2.265625" style="1" bestFit="1" customWidth="1"/>
    <col min="8" max="8" width="10.73046875" style="1" bestFit="1" customWidth="1"/>
    <col min="9" max="9" width="8.86328125" style="1" customWidth="1"/>
    <col min="10" max="10" width="7.265625" style="1" customWidth="1"/>
    <col min="11" max="13" width="5.59765625" style="1"/>
    <col min="14" max="16" width="5.59765625" style="5"/>
    <col min="17" max="17" width="14.86328125" style="54" customWidth="1"/>
    <col min="18" max="18" width="5.59765625" style="5"/>
    <col min="19" max="19" width="9" style="5" customWidth="1"/>
    <col min="20" max="20" width="34.86328125" style="5" bestFit="1" customWidth="1"/>
    <col min="21" max="23" width="5.59765625" style="5"/>
    <col min="24" max="24" width="8.265625" style="5" customWidth="1"/>
    <col min="25" max="25" width="9.3984375" style="5" customWidth="1"/>
    <col min="26" max="27" width="5.59765625" style="5"/>
    <col min="28" max="16384" width="5.59765625" style="1"/>
  </cols>
  <sheetData>
    <row r="1" spans="1:27" ht="15.75" x14ac:dyDescent="0.5">
      <c r="A1" s="45" t="s">
        <v>26</v>
      </c>
      <c r="B1" s="3"/>
      <c r="C1" s="3"/>
      <c r="G1" s="4" t="s">
        <v>27</v>
      </c>
      <c r="H1" s="3"/>
    </row>
    <row r="2" spans="1:27" x14ac:dyDescent="0.45">
      <c r="A2" s="2" t="s">
        <v>28</v>
      </c>
      <c r="B2" s="3"/>
      <c r="C2" s="3"/>
      <c r="H2" s="3"/>
    </row>
    <row r="3" spans="1:27" x14ac:dyDescent="0.45">
      <c r="A3" s="6" t="s">
        <v>82</v>
      </c>
      <c r="B3" s="3"/>
      <c r="C3" s="3"/>
      <c r="H3" s="3"/>
    </row>
    <row r="4" spans="1:27" ht="7.5" customHeight="1" x14ac:dyDescent="0.45">
      <c r="A4" s="2"/>
      <c r="B4" s="3"/>
      <c r="C4" s="3"/>
      <c r="H4" s="3"/>
    </row>
    <row r="5" spans="1:27" s="19" customFormat="1" x14ac:dyDescent="0.45">
      <c r="A5" s="72" t="s">
        <v>30</v>
      </c>
      <c r="B5" s="60"/>
      <c r="C5" s="60"/>
      <c r="H5" s="60"/>
      <c r="N5" s="59"/>
      <c r="O5" s="59"/>
      <c r="P5" s="59"/>
      <c r="Q5" s="62"/>
      <c r="R5" s="59"/>
      <c r="S5" s="59"/>
      <c r="T5" s="59"/>
      <c r="U5" s="59"/>
      <c r="V5" s="59"/>
      <c r="W5" s="59"/>
      <c r="X5" s="59"/>
      <c r="Y5" s="59"/>
      <c r="Z5" s="59"/>
      <c r="AA5" s="59"/>
    </row>
    <row r="6" spans="1:27" ht="28.5" x14ac:dyDescent="0.45">
      <c r="A6" s="43" t="s">
        <v>31</v>
      </c>
      <c r="B6" s="43" t="s">
        <v>32</v>
      </c>
      <c r="C6" s="7" t="s">
        <v>33</v>
      </c>
      <c r="D6" s="8" t="s">
        <v>34</v>
      </c>
      <c r="E6" s="7" t="s">
        <v>35</v>
      </c>
      <c r="F6" s="7" t="s">
        <v>36</v>
      </c>
      <c r="G6" s="7" t="s">
        <v>37</v>
      </c>
      <c r="H6" s="7" t="s">
        <v>38</v>
      </c>
      <c r="I6" s="9"/>
      <c r="J6" s="9"/>
    </row>
    <row r="7" spans="1:27" x14ac:dyDescent="0.45">
      <c r="A7" s="10" t="s">
        <v>39</v>
      </c>
      <c r="B7" s="53" t="s">
        <v>40</v>
      </c>
      <c r="C7" s="10" t="s">
        <v>19</v>
      </c>
      <c r="D7" s="1" t="s">
        <v>41</v>
      </c>
      <c r="E7" s="12">
        <v>293</v>
      </c>
      <c r="F7" s="10">
        <v>6</v>
      </c>
      <c r="G7" s="10" t="s">
        <v>42</v>
      </c>
      <c r="H7" s="13">
        <f>'January 1 2017'!H7*1.02</f>
        <v>30.564262565259238</v>
      </c>
    </row>
    <row r="8" spans="1:27" x14ac:dyDescent="0.45">
      <c r="A8" s="10" t="s">
        <v>39</v>
      </c>
      <c r="B8" s="53" t="s">
        <v>43</v>
      </c>
      <c r="C8" s="10" t="s">
        <v>23</v>
      </c>
      <c r="D8" s="1" t="s">
        <v>44</v>
      </c>
      <c r="E8" s="1">
        <v>323</v>
      </c>
      <c r="F8" s="3">
        <v>7</v>
      </c>
      <c r="G8" s="3" t="s">
        <v>42</v>
      </c>
      <c r="H8" s="13">
        <f>'January 1 2017'!H8*1.02</f>
        <v>34.030312959257706</v>
      </c>
    </row>
    <row r="9" spans="1:27" ht="4.5" customHeight="1" x14ac:dyDescent="0.45">
      <c r="F9" s="3"/>
      <c r="G9" s="3"/>
      <c r="H9" s="13"/>
    </row>
    <row r="10" spans="1:27" ht="16.5" customHeight="1" x14ac:dyDescent="0.45">
      <c r="A10" s="44"/>
      <c r="B10" s="44" t="s">
        <v>45</v>
      </c>
      <c r="D10" s="4" t="s">
        <v>46</v>
      </c>
      <c r="F10" s="3"/>
      <c r="G10" s="10" t="s">
        <v>42</v>
      </c>
      <c r="H10" s="13">
        <f>'January 1 2017'!H10*1.02</f>
        <v>11.868588905298106</v>
      </c>
    </row>
    <row r="11" spans="1:27" ht="12" customHeight="1" x14ac:dyDescent="0.45">
      <c r="A11" s="10"/>
      <c r="C11" s="10"/>
      <c r="D11" s="69" t="s">
        <v>47</v>
      </c>
      <c r="G11" s="10"/>
      <c r="H11" s="14"/>
    </row>
    <row r="12" spans="1:27" ht="8.25" customHeight="1" x14ac:dyDescent="0.45">
      <c r="C12" s="3"/>
      <c r="H12" s="3" t="s">
        <v>48</v>
      </c>
    </row>
    <row r="13" spans="1:27" ht="12" customHeight="1" x14ac:dyDescent="0.45">
      <c r="A13" s="15" t="s">
        <v>49</v>
      </c>
      <c r="B13" s="4"/>
      <c r="C13" s="3"/>
      <c r="H13" s="3"/>
    </row>
    <row r="14" spans="1:27" ht="12" customHeight="1" x14ac:dyDescent="0.45">
      <c r="A14" s="4" t="s">
        <v>83</v>
      </c>
      <c r="C14" s="13"/>
      <c r="H14" s="3"/>
      <c r="K14" s="16"/>
      <c r="Q14" s="26">
        <f>1.854*1.02</f>
        <v>1.8910800000000001</v>
      </c>
    </row>
    <row r="15" spans="1:27" ht="12" customHeight="1" x14ac:dyDescent="0.45">
      <c r="B15" s="4"/>
      <c r="C15" s="13"/>
      <c r="H15" s="3"/>
      <c r="K15" s="16"/>
      <c r="Q15" s="26"/>
    </row>
    <row r="16" spans="1:27" ht="12" customHeight="1" x14ac:dyDescent="0.45">
      <c r="A16" s="4" t="s">
        <v>84</v>
      </c>
      <c r="C16" s="13"/>
      <c r="H16" s="3"/>
      <c r="K16" s="16"/>
      <c r="Q16" s="26">
        <f>0.927*1.02</f>
        <v>0.94554000000000005</v>
      </c>
    </row>
    <row r="17" spans="1:26" s="5" customFormat="1" ht="12" customHeight="1" x14ac:dyDescent="0.45">
      <c r="A17" s="1"/>
      <c r="B17" s="4" t="s">
        <v>52</v>
      </c>
      <c r="C17" s="13"/>
      <c r="D17" s="1"/>
      <c r="E17" s="1"/>
      <c r="F17" s="1"/>
      <c r="G17" s="1"/>
      <c r="H17" s="3"/>
      <c r="I17" s="1"/>
      <c r="J17" s="1"/>
      <c r="K17" s="16"/>
      <c r="L17" s="1"/>
      <c r="M17" s="1"/>
      <c r="Q17" s="26"/>
    </row>
    <row r="18" spans="1:26" s="17" customFormat="1" ht="8.25" customHeight="1" x14ac:dyDescent="0.45">
      <c r="Q18" s="26"/>
    </row>
    <row r="19" spans="1:26" s="5" customFormat="1" ht="12" customHeight="1" x14ac:dyDescent="0.45">
      <c r="A19" s="15" t="s">
        <v>85</v>
      </c>
      <c r="B19" s="1"/>
      <c r="C19" s="13"/>
      <c r="D19" s="1"/>
      <c r="E19" s="1"/>
      <c r="F19" s="1"/>
      <c r="G19" s="1"/>
      <c r="H19" s="3"/>
      <c r="I19" s="1"/>
      <c r="J19" s="1"/>
      <c r="K19" s="16"/>
      <c r="L19" s="1"/>
      <c r="M19" s="1"/>
      <c r="Q19" s="26"/>
    </row>
    <row r="20" spans="1:26" s="5" customFormat="1" ht="14.25" customHeight="1" x14ac:dyDescent="0.45">
      <c r="A20" s="4" t="s">
        <v>86</v>
      </c>
      <c r="B20" s="4"/>
      <c r="C20" s="13"/>
      <c r="D20" s="1"/>
      <c r="E20" s="1"/>
      <c r="F20" s="1"/>
      <c r="G20" s="1"/>
      <c r="H20" s="3"/>
      <c r="I20" s="1"/>
      <c r="J20" s="1"/>
      <c r="K20" s="16"/>
      <c r="L20" s="1"/>
      <c r="M20" s="1"/>
      <c r="Q20" s="26">
        <f>1.236*1.02</f>
        <v>1.2607200000000001</v>
      </c>
    </row>
    <row r="21" spans="1:26" s="5" customFormat="1" ht="9.75" customHeight="1" x14ac:dyDescent="0.45">
      <c r="A21" s="4"/>
      <c r="B21" s="4"/>
      <c r="C21" s="13"/>
      <c r="D21" s="1"/>
      <c r="E21" s="1"/>
      <c r="F21" s="1"/>
      <c r="G21" s="1"/>
      <c r="H21" s="3"/>
      <c r="I21" s="1"/>
      <c r="J21" s="1"/>
      <c r="K21" s="16"/>
      <c r="L21" s="1"/>
      <c r="M21" s="1"/>
      <c r="Q21" s="54"/>
    </row>
    <row r="22" spans="1:26" s="5" customFormat="1" ht="15" customHeight="1" x14ac:dyDescent="0.45">
      <c r="A22" s="15" t="s">
        <v>55</v>
      </c>
      <c r="B22" s="4"/>
      <c r="C22" s="3"/>
      <c r="D22" s="1"/>
      <c r="E22" s="1"/>
      <c r="F22" s="1"/>
      <c r="G22" s="1"/>
      <c r="H22" s="3"/>
      <c r="I22" s="1"/>
      <c r="J22" s="1"/>
      <c r="K22" s="16"/>
      <c r="L22" s="1"/>
      <c r="M22" s="1"/>
      <c r="Q22" s="54"/>
    </row>
    <row r="23" spans="1:26" s="5" customFormat="1" ht="16.5" customHeight="1" x14ac:dyDescent="0.45">
      <c r="A23" s="1" t="s">
        <v>56</v>
      </c>
      <c r="C23" s="3"/>
      <c r="D23" s="1"/>
      <c r="E23" s="1"/>
      <c r="F23" s="1"/>
      <c r="G23" s="1"/>
      <c r="H23" s="3"/>
      <c r="I23" s="1"/>
      <c r="J23" s="1"/>
      <c r="K23" s="16"/>
      <c r="L23" s="1"/>
      <c r="M23" s="1"/>
      <c r="Q23" s="54"/>
    </row>
    <row r="24" spans="1:26" s="5" customFormat="1" ht="16.5" customHeight="1" x14ac:dyDescent="0.45">
      <c r="A24" s="1"/>
      <c r="B24" s="13">
        <f>'January 1 2017'!B24*1.02</f>
        <v>0.12326233091349266</v>
      </c>
      <c r="C24" s="19" t="s">
        <v>57</v>
      </c>
      <c r="D24" s="19"/>
      <c r="E24" s="1"/>
      <c r="F24" s="1"/>
      <c r="G24" s="1"/>
      <c r="H24" s="1"/>
      <c r="I24" s="1"/>
      <c r="J24" s="1"/>
      <c r="K24" s="16"/>
      <c r="L24" s="1"/>
      <c r="M24" s="1"/>
      <c r="Q24" s="54"/>
    </row>
    <row r="25" spans="1:26" s="5" customFormat="1" ht="16.5" customHeight="1" x14ac:dyDescent="0.45">
      <c r="A25" s="1"/>
      <c r="B25" s="13">
        <f>'January 1 2017'!B25*1.02</f>
        <v>0.29897671753485444</v>
      </c>
      <c r="C25" s="19" t="s">
        <v>58</v>
      </c>
      <c r="D25" s="19"/>
      <c r="E25" s="1"/>
      <c r="F25" s="1"/>
      <c r="G25" s="1"/>
      <c r="H25" s="1"/>
      <c r="I25" s="1"/>
      <c r="J25" s="1"/>
      <c r="K25" s="16"/>
      <c r="L25" s="1"/>
      <c r="M25" s="1"/>
      <c r="Q25" s="54"/>
    </row>
    <row r="26" spans="1:26" s="5" customFormat="1" ht="16.5" customHeight="1" x14ac:dyDescent="0.45">
      <c r="A26" s="1"/>
      <c r="B26" s="13">
        <f>'January 1 2017'!B26*1.02</f>
        <v>0.36847569134778141</v>
      </c>
      <c r="C26" s="19" t="s">
        <v>59</v>
      </c>
      <c r="D26" s="19"/>
      <c r="E26" s="1"/>
      <c r="F26" s="1"/>
      <c r="G26" s="1"/>
      <c r="H26" s="1"/>
      <c r="I26" s="1"/>
      <c r="J26" s="1"/>
      <c r="K26" s="16"/>
      <c r="L26" s="1"/>
      <c r="M26" s="1"/>
      <c r="Q26" s="54"/>
    </row>
    <row r="27" spans="1:26" s="5" customFormat="1" ht="16.5" customHeight="1" x14ac:dyDescent="0.45">
      <c r="A27" s="1"/>
      <c r="B27" s="13">
        <f>'January 1 2017'!B27*1.02</f>
        <v>0.65565069634836515</v>
      </c>
      <c r="C27" s="19" t="s">
        <v>60</v>
      </c>
      <c r="D27" s="19"/>
      <c r="E27" s="1"/>
      <c r="F27" s="1"/>
      <c r="G27" s="1"/>
      <c r="H27" s="1"/>
      <c r="I27" s="1"/>
      <c r="J27" s="1"/>
      <c r="K27" s="16"/>
      <c r="L27" s="1"/>
      <c r="M27" s="1"/>
      <c r="Q27" s="54"/>
    </row>
    <row r="28" spans="1:26" s="5" customFormat="1" ht="10.5" customHeight="1" x14ac:dyDescent="0.45">
      <c r="A28" s="20"/>
      <c r="B28" s="20"/>
      <c r="C28" s="21"/>
      <c r="D28" s="21"/>
      <c r="E28" s="20"/>
      <c r="F28" s="20"/>
      <c r="G28" s="20"/>
      <c r="H28" s="21"/>
      <c r="I28" s="20"/>
      <c r="J28" s="20"/>
      <c r="K28" s="16"/>
      <c r="L28" s="1"/>
      <c r="M28" s="1"/>
      <c r="Q28" s="54"/>
    </row>
    <row r="29" spans="1:26" s="5" customFormat="1" ht="10.5" customHeight="1" x14ac:dyDescent="0.45">
      <c r="A29" s="64"/>
      <c r="B29" s="64"/>
      <c r="C29" s="65"/>
      <c r="D29" s="65"/>
      <c r="E29" s="64"/>
      <c r="F29" s="64"/>
      <c r="G29" s="64"/>
      <c r="H29" s="65"/>
      <c r="I29" s="64"/>
      <c r="J29" s="64"/>
      <c r="K29" s="16"/>
      <c r="L29" s="1"/>
      <c r="M29" s="1"/>
      <c r="Q29" s="54"/>
    </row>
    <row r="30" spans="1:26" s="59" customFormat="1" ht="15" customHeight="1" x14ac:dyDescent="0.45">
      <c r="A30" s="70" t="s">
        <v>87</v>
      </c>
      <c r="B30" s="61"/>
      <c r="C30" s="71"/>
      <c r="D30" s="71"/>
      <c r="E30" s="61"/>
      <c r="F30" s="61"/>
      <c r="G30" s="61"/>
      <c r="H30" s="71"/>
      <c r="I30" s="61"/>
      <c r="J30" s="61"/>
      <c r="K30" s="61"/>
      <c r="L30" s="19"/>
      <c r="M30" s="19"/>
      <c r="Q30" s="62"/>
    </row>
    <row r="31" spans="1:26" s="5" customFormat="1" ht="21" customHeight="1" x14ac:dyDescent="0.45">
      <c r="A31" s="6" t="s">
        <v>88</v>
      </c>
      <c r="B31" s="16"/>
      <c r="C31" s="22"/>
      <c r="D31" s="22"/>
      <c r="E31" s="16"/>
      <c r="F31" s="16"/>
      <c r="G31" s="16"/>
      <c r="H31" s="22"/>
      <c r="I31" s="16"/>
      <c r="J31" s="16"/>
      <c r="K31" s="16"/>
      <c r="L31" s="1"/>
      <c r="M31" s="1"/>
      <c r="Q31" s="55"/>
      <c r="R31" s="24"/>
      <c r="S31" s="25"/>
      <c r="T31" s="25"/>
      <c r="U31" s="24"/>
      <c r="V31" s="24"/>
      <c r="W31" s="24"/>
      <c r="X31" s="25"/>
      <c r="Y31" s="24"/>
      <c r="Z31" s="24"/>
    </row>
    <row r="32" spans="1:26" s="59" customFormat="1" ht="6" customHeight="1" x14ac:dyDescent="0.45">
      <c r="B32" s="60"/>
      <c r="C32" s="60"/>
      <c r="D32" s="19"/>
      <c r="E32" s="19"/>
      <c r="F32" s="19"/>
      <c r="G32" s="19"/>
      <c r="H32" s="60"/>
      <c r="I32" s="19"/>
      <c r="J32" s="19"/>
      <c r="K32" s="61"/>
      <c r="L32" s="19"/>
      <c r="M32" s="19"/>
      <c r="Q32" s="62"/>
      <c r="R32" s="63"/>
      <c r="S32" s="63"/>
      <c r="X32" s="63"/>
    </row>
    <row r="33" spans="1:26" s="5" customFormat="1" ht="30" customHeight="1" x14ac:dyDescent="0.45">
      <c r="A33" s="7" t="s">
        <v>2</v>
      </c>
      <c r="B33" s="43" t="s">
        <v>32</v>
      </c>
      <c r="C33" s="7" t="s">
        <v>33</v>
      </c>
      <c r="D33" s="8" t="s">
        <v>34</v>
      </c>
      <c r="E33" s="7" t="s">
        <v>35</v>
      </c>
      <c r="F33" s="7" t="s">
        <v>36</v>
      </c>
      <c r="G33" s="7" t="s">
        <v>37</v>
      </c>
      <c r="H33" s="7" t="s">
        <v>62</v>
      </c>
      <c r="I33" s="28" t="s">
        <v>63</v>
      </c>
      <c r="J33" s="9"/>
      <c r="K33" s="9"/>
      <c r="L33" s="16"/>
      <c r="M33" s="1"/>
      <c r="Q33" s="56"/>
      <c r="R33" s="29"/>
      <c r="S33" s="29"/>
      <c r="T33" s="30"/>
      <c r="U33" s="29"/>
      <c r="V33" s="29"/>
      <c r="W33" s="29"/>
      <c r="X33" s="29"/>
      <c r="Y33" s="31"/>
      <c r="Z33" s="23"/>
    </row>
    <row r="34" spans="1:26" s="5" customFormat="1" x14ac:dyDescent="0.45">
      <c r="A34" s="10" t="s">
        <v>39</v>
      </c>
      <c r="B34" s="11" t="s">
        <v>64</v>
      </c>
      <c r="C34" s="10" t="s">
        <v>65</v>
      </c>
      <c r="D34" s="4" t="s">
        <v>66</v>
      </c>
      <c r="E34" s="12"/>
      <c r="F34" s="12"/>
      <c r="G34" s="10" t="s">
        <v>42</v>
      </c>
      <c r="H34" s="13" t="s">
        <v>67</v>
      </c>
      <c r="I34" s="77">
        <f>'January 1 2017'!I34*1.02</f>
        <v>24.083597412518831</v>
      </c>
      <c r="J34" s="1"/>
      <c r="K34" s="1"/>
      <c r="L34" s="1"/>
      <c r="M34" s="1"/>
      <c r="Q34" s="56"/>
      <c r="R34" s="33"/>
      <c r="S34" s="32"/>
      <c r="T34" s="34"/>
      <c r="U34" s="35"/>
      <c r="V34" s="35"/>
      <c r="W34" s="32"/>
      <c r="X34" s="36"/>
      <c r="Y34" s="36"/>
      <c r="Z34" s="24"/>
    </row>
    <row r="35" spans="1:26" s="5" customFormat="1" x14ac:dyDescent="0.45">
      <c r="A35" s="10"/>
      <c r="B35" s="11"/>
      <c r="C35" s="10" t="s">
        <v>62</v>
      </c>
      <c r="D35" s="4" t="s">
        <v>68</v>
      </c>
      <c r="E35" s="12"/>
      <c r="F35" s="12"/>
      <c r="G35" s="10" t="s">
        <v>42</v>
      </c>
      <c r="H35" s="13">
        <f>'January 1 2017'!H35*1.02</f>
        <v>1.6384710901745649</v>
      </c>
      <c r="I35" s="13">
        <f>I$34+H35</f>
        <v>25.722068502693396</v>
      </c>
      <c r="J35" s="1"/>
      <c r="K35" s="1"/>
      <c r="L35" s="1"/>
      <c r="M35" s="1"/>
      <c r="Q35" s="56"/>
      <c r="R35" s="33"/>
      <c r="S35" s="32"/>
      <c r="T35" s="34"/>
      <c r="U35" s="35"/>
      <c r="V35" s="35"/>
      <c r="W35" s="32"/>
      <c r="X35" s="36"/>
      <c r="Y35" s="36"/>
      <c r="Z35" s="24"/>
    </row>
    <row r="36" spans="1:26" s="5" customFormat="1" x14ac:dyDescent="0.45">
      <c r="A36" s="10"/>
      <c r="B36" s="11"/>
      <c r="C36" s="10" t="s">
        <v>62</v>
      </c>
      <c r="D36" s="4" t="s">
        <v>69</v>
      </c>
      <c r="E36" s="12"/>
      <c r="F36" s="12"/>
      <c r="G36" s="10" t="s">
        <v>42</v>
      </c>
      <c r="H36" s="13">
        <f>'January 1 2017'!H36*1.02</f>
        <v>6.0295736118423999</v>
      </c>
      <c r="I36" s="13">
        <f t="shared" ref="I36:I37" si="0">I$34+H36</f>
        <v>30.113171024361229</v>
      </c>
      <c r="J36" s="1"/>
      <c r="K36" s="1"/>
      <c r="L36" s="1"/>
      <c r="M36" s="1"/>
      <c r="Q36" s="57"/>
      <c r="R36" s="38"/>
      <c r="S36" s="37"/>
      <c r="T36" s="39"/>
      <c r="U36" s="40"/>
      <c r="V36" s="40"/>
      <c r="W36" s="37"/>
      <c r="X36" s="41"/>
      <c r="Y36" s="41"/>
    </row>
    <row r="37" spans="1:26" s="5" customFormat="1" x14ac:dyDescent="0.45">
      <c r="A37" s="3"/>
      <c r="B37" s="11"/>
      <c r="C37" s="10" t="s">
        <v>62</v>
      </c>
      <c r="D37" s="4" t="s">
        <v>70</v>
      </c>
      <c r="E37" s="1"/>
      <c r="F37" s="1"/>
      <c r="G37" s="10" t="s">
        <v>42</v>
      </c>
      <c r="H37" s="13">
        <f>'January 1 2017'!H37*1.02</f>
        <v>14.987833980161525</v>
      </c>
      <c r="I37" s="13">
        <f t="shared" si="0"/>
        <v>39.071431392680353</v>
      </c>
      <c r="J37" s="1"/>
      <c r="K37" s="1"/>
      <c r="L37" s="1"/>
      <c r="M37" s="1"/>
      <c r="Q37" s="58"/>
      <c r="R37" s="38"/>
      <c r="S37" s="37"/>
      <c r="T37" s="39"/>
      <c r="W37" s="37"/>
      <c r="X37" s="41"/>
      <c r="Y37" s="41"/>
    </row>
    <row r="38" spans="1:26" s="5" customFormat="1" x14ac:dyDescent="0.45">
      <c r="A38" s="1"/>
      <c r="C38" s="3"/>
      <c r="D38" s="68" t="s">
        <v>71</v>
      </c>
      <c r="E38" s="1"/>
      <c r="F38" s="1"/>
      <c r="G38" s="1"/>
      <c r="H38" s="1"/>
      <c r="I38" s="1"/>
      <c r="J38" s="1"/>
      <c r="K38" s="1"/>
      <c r="L38" s="1"/>
      <c r="M38" s="1"/>
      <c r="Q38" s="54"/>
      <c r="R38" s="39"/>
      <c r="S38" s="27"/>
    </row>
    <row r="39" spans="1:26" s="5" customFormat="1" x14ac:dyDescent="0.45">
      <c r="A39" s="1"/>
      <c r="B39" s="1"/>
      <c r="C39" s="10" t="s">
        <v>62</v>
      </c>
      <c r="D39" s="4" t="s">
        <v>72</v>
      </c>
      <c r="E39" s="1"/>
      <c r="F39" s="1"/>
      <c r="G39" s="10" t="s">
        <v>73</v>
      </c>
      <c r="H39" s="13">
        <f>'January 1 2017'!H39*1.02</f>
        <v>7.1042976038208456</v>
      </c>
      <c r="I39" s="13">
        <f>I$34+H39</f>
        <v>31.187895016339677</v>
      </c>
      <c r="J39" s="1"/>
      <c r="K39" s="1"/>
      <c r="L39" s="1"/>
      <c r="M39" s="1"/>
      <c r="Q39" s="54"/>
      <c r="S39" s="37"/>
      <c r="T39" s="39"/>
      <c r="W39" s="37"/>
      <c r="X39" s="42"/>
      <c r="Y39" s="41"/>
    </row>
    <row r="40" spans="1:26" s="5" customFormat="1" x14ac:dyDescent="0.45">
      <c r="A40" s="4" t="s">
        <v>89</v>
      </c>
      <c r="B40" s="1"/>
      <c r="C40" s="10"/>
      <c r="E40" s="1"/>
      <c r="F40" s="1"/>
      <c r="G40" s="10"/>
      <c r="H40" s="13"/>
      <c r="I40" s="13"/>
      <c r="J40" s="1"/>
      <c r="K40" s="1"/>
      <c r="L40" s="1"/>
      <c r="M40" s="1"/>
      <c r="Q40" s="54"/>
      <c r="S40" s="37"/>
      <c r="T40" s="39"/>
      <c r="W40" s="37"/>
      <c r="X40" s="42"/>
      <c r="Y40" s="41"/>
    </row>
    <row r="41" spans="1:26" s="5" customFormat="1" x14ac:dyDescent="0.45">
      <c r="A41" s="73"/>
      <c r="B41" s="20" t="s">
        <v>90</v>
      </c>
      <c r="C41" s="74"/>
      <c r="D41" s="75"/>
      <c r="E41" s="20"/>
      <c r="F41" s="20"/>
      <c r="G41" s="74"/>
      <c r="H41" s="76"/>
      <c r="I41" s="76"/>
      <c r="J41" s="1"/>
      <c r="K41" s="1"/>
      <c r="L41" s="1"/>
      <c r="M41" s="1"/>
      <c r="Q41" s="54"/>
      <c r="S41" s="37"/>
      <c r="T41" s="39"/>
      <c r="W41" s="37"/>
      <c r="X41" s="42"/>
      <c r="Y41" s="41"/>
    </row>
    <row r="42" spans="1:26" s="5" customFormat="1" x14ac:dyDescent="0.45">
      <c r="A42" s="4"/>
      <c r="B42" s="1"/>
      <c r="C42" s="10"/>
      <c r="E42" s="1"/>
      <c r="F42" s="1"/>
      <c r="G42" s="10"/>
      <c r="H42" s="13"/>
      <c r="I42" s="13"/>
      <c r="J42" s="1"/>
      <c r="K42" s="1"/>
      <c r="L42" s="1"/>
      <c r="M42" s="1"/>
      <c r="Q42" s="54"/>
      <c r="S42" s="37"/>
      <c r="T42" s="39"/>
      <c r="W42" s="37"/>
      <c r="X42" s="42"/>
      <c r="Y42" s="41"/>
    </row>
    <row r="43" spans="1:26" ht="18.75" customHeight="1" x14ac:dyDescent="0.45">
      <c r="A43" s="6" t="s">
        <v>88</v>
      </c>
    </row>
    <row r="44" spans="1:26" s="5" customFormat="1" x14ac:dyDescent="0.45">
      <c r="A44" s="15" t="s">
        <v>91</v>
      </c>
      <c r="C44" s="1"/>
      <c r="D44" s="1"/>
      <c r="E44" s="1"/>
      <c r="F44" s="1"/>
      <c r="G44" s="1"/>
      <c r="H44" s="1"/>
      <c r="I44" s="1"/>
      <c r="J44" s="1"/>
      <c r="K44" s="1"/>
      <c r="L44" s="1"/>
      <c r="M44" s="1"/>
      <c r="Q44" s="54"/>
    </row>
    <row r="45" spans="1:26" s="5" customFormat="1" x14ac:dyDescent="0.45">
      <c r="A45" s="1" t="s">
        <v>75</v>
      </c>
      <c r="C45" s="1"/>
      <c r="D45" s="1"/>
      <c r="E45" s="1"/>
      <c r="F45" s="1"/>
      <c r="G45" s="1"/>
      <c r="H45" s="1"/>
      <c r="I45" s="1"/>
      <c r="J45" s="1"/>
      <c r="K45" s="1"/>
      <c r="L45" s="1"/>
      <c r="M45" s="1"/>
      <c r="Q45" s="54"/>
    </row>
    <row r="46" spans="1:26" s="5" customFormat="1" x14ac:dyDescent="0.45">
      <c r="A46" s="1" t="s">
        <v>76</v>
      </c>
      <c r="C46" s="1"/>
      <c r="D46" s="1"/>
      <c r="E46" s="1"/>
      <c r="F46" s="1"/>
      <c r="G46" s="1"/>
      <c r="H46" s="1"/>
      <c r="I46" s="1"/>
      <c r="J46" s="1"/>
      <c r="K46" s="1"/>
      <c r="L46" s="1"/>
      <c r="M46" s="1"/>
      <c r="Q46" s="54"/>
    </row>
    <row r="47" spans="1:26" s="5" customFormat="1" x14ac:dyDescent="0.45">
      <c r="A47" s="1" t="s">
        <v>92</v>
      </c>
      <c r="C47" s="1"/>
      <c r="D47" s="1"/>
      <c r="E47" s="1"/>
      <c r="F47" s="1"/>
      <c r="G47" s="1"/>
      <c r="H47" s="1"/>
      <c r="I47" s="1"/>
      <c r="J47" s="1"/>
      <c r="K47" s="1"/>
      <c r="L47" s="1"/>
      <c r="M47" s="1"/>
      <c r="Q47" s="54"/>
    </row>
    <row r="48" spans="1:26" ht="9" customHeight="1" x14ac:dyDescent="0.45"/>
    <row r="49" spans="1:17" s="5" customFormat="1" x14ac:dyDescent="0.45">
      <c r="A49" s="15" t="s">
        <v>93</v>
      </c>
      <c r="C49" s="1"/>
      <c r="D49" s="1"/>
      <c r="E49" s="1"/>
      <c r="F49" s="1"/>
      <c r="G49" s="1"/>
      <c r="H49" s="1"/>
      <c r="I49" s="1"/>
      <c r="J49" s="1"/>
      <c r="K49" s="1"/>
      <c r="L49" s="1"/>
      <c r="M49" s="1"/>
      <c r="Q49" s="54"/>
    </row>
    <row r="50" spans="1:17" s="5" customFormat="1" x14ac:dyDescent="0.45">
      <c r="A50" s="1" t="s">
        <v>75</v>
      </c>
      <c r="C50" s="1"/>
      <c r="D50" s="1"/>
      <c r="E50" s="1"/>
      <c r="F50" s="1"/>
      <c r="G50" s="1"/>
      <c r="H50" s="1"/>
      <c r="I50" s="1"/>
      <c r="J50" s="1"/>
      <c r="K50" s="1"/>
      <c r="L50" s="1"/>
      <c r="M50" s="1"/>
      <c r="Q50" s="54"/>
    </row>
    <row r="51" spans="1:17" s="5" customFormat="1" x14ac:dyDescent="0.45">
      <c r="A51" s="1" t="s">
        <v>79</v>
      </c>
      <c r="C51" s="1"/>
      <c r="D51" s="1"/>
      <c r="E51" s="1"/>
      <c r="F51" s="1"/>
      <c r="G51" s="1"/>
      <c r="H51" s="1"/>
      <c r="I51" s="1"/>
      <c r="J51" s="1"/>
      <c r="K51" s="1"/>
      <c r="L51" s="1"/>
      <c r="M51" s="1"/>
      <c r="Q51" s="54"/>
    </row>
    <row r="52" spans="1:17" s="5" customFormat="1" x14ac:dyDescent="0.45">
      <c r="A52" s="1" t="s">
        <v>80</v>
      </c>
      <c r="C52" s="1"/>
      <c r="D52" s="1"/>
      <c r="E52" s="1"/>
      <c r="F52" s="1"/>
      <c r="G52" s="1"/>
      <c r="H52" s="1"/>
      <c r="I52" s="1"/>
      <c r="J52" s="1"/>
      <c r="K52" s="1"/>
      <c r="L52" s="1"/>
      <c r="M52" s="1"/>
      <c r="Q52" s="54"/>
    </row>
    <row r="53" spans="1:17" s="5" customFormat="1" x14ac:dyDescent="0.45">
      <c r="A53" s="1" t="s">
        <v>81</v>
      </c>
      <c r="C53" s="1"/>
      <c r="D53" s="1"/>
      <c r="E53" s="1"/>
      <c r="F53" s="1"/>
      <c r="G53" s="1"/>
      <c r="H53" s="1"/>
      <c r="I53" s="1"/>
      <c r="J53" s="1"/>
      <c r="K53" s="1"/>
      <c r="L53" s="1"/>
      <c r="M53" s="1"/>
      <c r="Q53" s="54"/>
    </row>
    <row r="55" spans="1:17" x14ac:dyDescent="0.45">
      <c r="A55" s="6"/>
      <c r="B55" s="16"/>
      <c r="C55" s="22"/>
      <c r="D55" s="22"/>
    </row>
    <row r="56" spans="1:17" x14ac:dyDescent="0.45">
      <c r="A56" s="15"/>
      <c r="B56" s="3"/>
      <c r="C56" s="3"/>
    </row>
  </sheetData>
  <sheetProtection algorithmName="SHA-512" hashValue="5MaY1Ij7UPJwz4wqt+zebeGi+t8KOv16szEYFGWyfmhe1r3pv8UgEl0KcR+0qBPXFgBHPVuZfl3yBy+vgFyt5g==" saltValue="YouwRj/9LVBgiHUZbAfgpQ==" spinCount="100000" sheet="1" objects="1" scenarios="1"/>
  <pageMargins left="0.5" right="0" top="1" bottom="0.25" header="0.5" footer="0.5"/>
  <pageSetup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54"/>
  <sheetViews>
    <sheetView workbookViewId="0">
      <selection activeCell="H10" sqref="H10"/>
    </sheetView>
  </sheetViews>
  <sheetFormatPr defaultColWidth="5.59765625" defaultRowHeight="14.25" x14ac:dyDescent="0.45"/>
  <cols>
    <col min="1" max="1" width="5.59765625" style="1" customWidth="1"/>
    <col min="2" max="2" width="7.73046875" style="1" customWidth="1"/>
    <col min="3" max="3" width="9.86328125" style="1" customWidth="1"/>
    <col min="4" max="4" width="49.3984375" style="1" bestFit="1" customWidth="1"/>
    <col min="5" max="5" width="4.1328125" style="1" bestFit="1" customWidth="1"/>
    <col min="6" max="6" width="2.3984375" style="1" bestFit="1" customWidth="1"/>
    <col min="7" max="7" width="2.73046875" style="1" bestFit="1" customWidth="1"/>
    <col min="8" max="8" width="10.73046875" style="1" bestFit="1" customWidth="1"/>
    <col min="9" max="9" width="8.86328125" style="1" customWidth="1"/>
    <col min="10" max="10" width="7.265625" style="1" customWidth="1"/>
    <col min="11" max="13" width="5.59765625" style="1"/>
    <col min="14" max="16" width="5.59765625" style="5"/>
    <col min="17" max="17" width="14.86328125" style="54" customWidth="1"/>
    <col min="18" max="18" width="5.59765625" style="5"/>
    <col min="19" max="19" width="9" style="5" customWidth="1"/>
    <col min="20" max="20" width="34.86328125" style="5" bestFit="1" customWidth="1"/>
    <col min="21" max="23" width="5.59765625" style="5"/>
    <col min="24" max="24" width="8.265625" style="5" customWidth="1"/>
    <col min="25" max="25" width="9.3984375" style="5" customWidth="1"/>
    <col min="26" max="27" width="5.59765625" style="5"/>
    <col min="28" max="16384" width="5.59765625" style="1"/>
  </cols>
  <sheetData>
    <row r="1" spans="1:17" ht="15.75" x14ac:dyDescent="0.5">
      <c r="A1" s="45" t="s">
        <v>26</v>
      </c>
      <c r="B1" s="3"/>
      <c r="C1" s="3"/>
      <c r="G1" s="4" t="s">
        <v>27</v>
      </c>
      <c r="H1" s="3"/>
    </row>
    <row r="2" spans="1:17" x14ac:dyDescent="0.45">
      <c r="A2" s="2" t="s">
        <v>28</v>
      </c>
      <c r="B2" s="3"/>
      <c r="C2" s="3"/>
      <c r="H2" s="3"/>
    </row>
    <row r="3" spans="1:17" x14ac:dyDescent="0.45">
      <c r="A3" s="6" t="s">
        <v>94</v>
      </c>
      <c r="B3" s="3"/>
      <c r="C3" s="3"/>
      <c r="H3" s="3"/>
    </row>
    <row r="4" spans="1:17" ht="10.5" customHeight="1" x14ac:dyDescent="0.45">
      <c r="A4" s="2"/>
      <c r="B4" s="3"/>
      <c r="C4" s="3"/>
      <c r="H4" s="3"/>
    </row>
    <row r="5" spans="1:17" x14ac:dyDescent="0.45">
      <c r="A5" s="2" t="s">
        <v>30</v>
      </c>
      <c r="B5" s="3"/>
      <c r="C5" s="3"/>
      <c r="H5" s="3"/>
    </row>
    <row r="6" spans="1:17" ht="28.5" x14ac:dyDescent="0.45">
      <c r="A6" s="43" t="s">
        <v>31</v>
      </c>
      <c r="B6" s="43" t="s">
        <v>32</v>
      </c>
      <c r="C6" s="7" t="s">
        <v>33</v>
      </c>
      <c r="D6" s="8" t="s">
        <v>34</v>
      </c>
      <c r="E6" s="7" t="s">
        <v>35</v>
      </c>
      <c r="F6" s="7" t="s">
        <v>36</v>
      </c>
      <c r="G6" s="7" t="s">
        <v>37</v>
      </c>
      <c r="H6" s="7" t="s">
        <v>38</v>
      </c>
      <c r="I6" s="9"/>
      <c r="J6" s="9"/>
    </row>
    <row r="7" spans="1:17" x14ac:dyDescent="0.45">
      <c r="A7" s="10" t="s">
        <v>39</v>
      </c>
      <c r="B7" s="53" t="s">
        <v>40</v>
      </c>
      <c r="C7" s="10" t="s">
        <v>19</v>
      </c>
      <c r="D7" s="1" t="s">
        <v>41</v>
      </c>
      <c r="E7" s="12">
        <v>293</v>
      </c>
      <c r="F7" s="10">
        <v>6</v>
      </c>
      <c r="G7" s="10" t="s">
        <v>42</v>
      </c>
      <c r="H7" s="13">
        <f>'January 1 &amp; July 1 2018'!H7*1.02</f>
        <v>31.175547816564425</v>
      </c>
    </row>
    <row r="8" spans="1:17" x14ac:dyDescent="0.45">
      <c r="A8" s="10" t="s">
        <v>39</v>
      </c>
      <c r="B8" s="53" t="s">
        <v>43</v>
      </c>
      <c r="C8" s="10" t="s">
        <v>23</v>
      </c>
      <c r="D8" s="1" t="s">
        <v>44</v>
      </c>
      <c r="E8" s="1">
        <v>323</v>
      </c>
      <c r="F8" s="3">
        <v>7</v>
      </c>
      <c r="G8" s="3" t="s">
        <v>42</v>
      </c>
      <c r="H8" s="13">
        <f>'January 1 &amp; July 1 2018'!H8*1.02</f>
        <v>34.710919218442861</v>
      </c>
    </row>
    <row r="9" spans="1:17" ht="9" customHeight="1" x14ac:dyDescent="0.45">
      <c r="F9" s="3"/>
      <c r="G9" s="3"/>
      <c r="H9" s="13"/>
    </row>
    <row r="10" spans="1:17" ht="12" customHeight="1" x14ac:dyDescent="0.45">
      <c r="A10" s="44"/>
      <c r="B10" s="44" t="s">
        <v>45</v>
      </c>
      <c r="D10" s="4" t="s">
        <v>46</v>
      </c>
      <c r="F10" s="3"/>
      <c r="G10" s="10" t="s">
        <v>42</v>
      </c>
      <c r="H10" s="13">
        <f>'January 1 &amp; July 1 2018'!H10*1.02</f>
        <v>12.105960683404067</v>
      </c>
    </row>
    <row r="11" spans="1:17" ht="12" customHeight="1" x14ac:dyDescent="0.45">
      <c r="A11" s="10"/>
      <c r="C11" s="10"/>
      <c r="D11" s="68" t="s">
        <v>47</v>
      </c>
      <c r="G11" s="10"/>
      <c r="H11" s="14"/>
      <c r="Q11" s="26"/>
    </row>
    <row r="12" spans="1:17" ht="8.25" customHeight="1" x14ac:dyDescent="0.45">
      <c r="C12" s="3"/>
      <c r="H12" s="3" t="s">
        <v>48</v>
      </c>
      <c r="Q12" s="26"/>
    </row>
    <row r="13" spans="1:17" ht="12" customHeight="1" x14ac:dyDescent="0.45">
      <c r="A13" s="15" t="s">
        <v>49</v>
      </c>
      <c r="B13" s="4"/>
      <c r="C13" s="3"/>
      <c r="H13" s="3"/>
      <c r="Q13" s="26"/>
    </row>
    <row r="14" spans="1:17" ht="12" customHeight="1" x14ac:dyDescent="0.45">
      <c r="A14" s="4" t="s">
        <v>95</v>
      </c>
      <c r="C14" s="13"/>
      <c r="H14" s="3"/>
      <c r="K14" s="16"/>
      <c r="Q14" s="26">
        <f>1.891*1.02</f>
        <v>1.92882</v>
      </c>
    </row>
    <row r="15" spans="1:17" ht="12" customHeight="1" x14ac:dyDescent="0.45">
      <c r="B15" s="4"/>
      <c r="C15" s="13"/>
      <c r="H15" s="3"/>
      <c r="K15" s="16"/>
      <c r="Q15" s="26"/>
    </row>
    <row r="16" spans="1:17" ht="12" customHeight="1" x14ac:dyDescent="0.45">
      <c r="A16" s="4" t="s">
        <v>96</v>
      </c>
      <c r="C16" s="13"/>
      <c r="H16" s="3"/>
      <c r="K16" s="16"/>
      <c r="Q16" s="26">
        <f>0.946*1.02</f>
        <v>0.96492</v>
      </c>
    </row>
    <row r="17" spans="1:26" s="5" customFormat="1" ht="12" customHeight="1" x14ac:dyDescent="0.45">
      <c r="A17" s="1"/>
      <c r="B17" s="4" t="s">
        <v>52</v>
      </c>
      <c r="C17" s="13"/>
      <c r="D17" s="1"/>
      <c r="E17" s="1"/>
      <c r="F17" s="1"/>
      <c r="G17" s="1"/>
      <c r="H17" s="3"/>
      <c r="I17" s="1"/>
      <c r="J17" s="1"/>
      <c r="K17" s="16"/>
      <c r="L17" s="1"/>
      <c r="M17" s="1"/>
      <c r="Q17" s="26"/>
    </row>
    <row r="18" spans="1:26" s="17" customFormat="1" ht="8.25" customHeight="1" x14ac:dyDescent="0.45">
      <c r="Q18" s="26"/>
    </row>
    <row r="19" spans="1:26" s="5" customFormat="1" ht="12" customHeight="1" x14ac:dyDescent="0.45">
      <c r="A19" s="15" t="s">
        <v>85</v>
      </c>
      <c r="B19" s="1"/>
      <c r="C19" s="13"/>
      <c r="D19" s="1"/>
      <c r="E19" s="1"/>
      <c r="F19" s="1"/>
      <c r="G19" s="1"/>
      <c r="H19" s="3"/>
      <c r="I19" s="1"/>
      <c r="J19" s="1"/>
      <c r="K19" s="16"/>
      <c r="L19" s="1"/>
      <c r="M19" s="1"/>
      <c r="Q19" s="26"/>
    </row>
    <row r="20" spans="1:26" s="5" customFormat="1" ht="18.75" customHeight="1" x14ac:dyDescent="0.45">
      <c r="A20" s="4" t="s">
        <v>97</v>
      </c>
      <c r="B20" s="4"/>
      <c r="C20" s="13"/>
      <c r="D20" s="1"/>
      <c r="E20" s="1"/>
      <c r="F20" s="1"/>
      <c r="G20" s="1"/>
      <c r="H20" s="3"/>
      <c r="I20" s="1"/>
      <c r="J20" s="1"/>
      <c r="K20" s="16"/>
      <c r="L20" s="1"/>
      <c r="M20" s="1"/>
      <c r="Q20" s="26">
        <f>1.261*1.02</f>
        <v>1.2862199999999999</v>
      </c>
    </row>
    <row r="21" spans="1:26" s="5" customFormat="1" ht="12" customHeight="1" x14ac:dyDescent="0.45">
      <c r="A21" s="4"/>
      <c r="B21" s="4"/>
      <c r="C21" s="13"/>
      <c r="D21" s="1"/>
      <c r="E21" s="1"/>
      <c r="F21" s="1"/>
      <c r="G21" s="1"/>
      <c r="H21" s="3"/>
      <c r="I21" s="1"/>
      <c r="J21" s="1"/>
      <c r="K21" s="16"/>
      <c r="L21" s="1"/>
      <c r="M21" s="1"/>
      <c r="Q21" s="54"/>
    </row>
    <row r="22" spans="1:26" s="5" customFormat="1" ht="17.25" customHeight="1" x14ac:dyDescent="0.45">
      <c r="A22" s="15" t="s">
        <v>55</v>
      </c>
      <c r="C22" s="18"/>
      <c r="D22" s="15"/>
      <c r="E22" s="15"/>
      <c r="F22" s="15"/>
      <c r="G22" s="1"/>
      <c r="H22" s="3"/>
      <c r="I22" s="1"/>
      <c r="J22" s="1"/>
      <c r="K22" s="16"/>
      <c r="L22" s="1"/>
      <c r="M22" s="1"/>
      <c r="Q22" s="54"/>
    </row>
    <row r="23" spans="1:26" s="5" customFormat="1" ht="16.5" customHeight="1" x14ac:dyDescent="0.45">
      <c r="A23" s="1" t="s">
        <v>56</v>
      </c>
      <c r="C23" s="3"/>
      <c r="D23" s="1"/>
      <c r="E23" s="1"/>
      <c r="F23" s="1"/>
      <c r="G23" s="1"/>
      <c r="H23" s="3"/>
      <c r="I23" s="1"/>
      <c r="J23" s="1"/>
      <c r="K23" s="16"/>
      <c r="L23" s="1"/>
      <c r="M23" s="1"/>
      <c r="Q23" s="54"/>
    </row>
    <row r="24" spans="1:26" s="5" customFormat="1" ht="16.5" customHeight="1" x14ac:dyDescent="0.45">
      <c r="A24" s="1"/>
      <c r="B24" s="13">
        <f>'January 1 &amp; July 1 2018'!B24*1.02</f>
        <v>0.1257275775317625</v>
      </c>
      <c r="C24" s="19" t="s">
        <v>57</v>
      </c>
      <c r="D24" s="19"/>
      <c r="E24" s="1"/>
      <c r="F24" s="1"/>
      <c r="G24" s="1"/>
      <c r="H24" s="1"/>
      <c r="I24" s="1"/>
      <c r="J24" s="1"/>
      <c r="K24" s="16"/>
      <c r="L24" s="1"/>
      <c r="M24" s="1"/>
      <c r="Q24" s="54"/>
    </row>
    <row r="25" spans="1:26" s="5" customFormat="1" ht="16.5" customHeight="1" x14ac:dyDescent="0.45">
      <c r="A25" s="1"/>
      <c r="B25" s="13">
        <f>'January 1 &amp; July 1 2018'!B25*1.02</f>
        <v>0.30495625188555153</v>
      </c>
      <c r="C25" s="19" t="s">
        <v>58</v>
      </c>
      <c r="D25" s="19"/>
      <c r="E25" s="1"/>
      <c r="F25" s="1"/>
      <c r="G25" s="1"/>
      <c r="H25" s="1"/>
      <c r="I25" s="1"/>
      <c r="J25" s="1"/>
      <c r="K25" s="16"/>
      <c r="L25" s="1"/>
      <c r="M25" s="1"/>
      <c r="Q25" s="54"/>
    </row>
    <row r="26" spans="1:26" s="5" customFormat="1" ht="16.5" customHeight="1" x14ac:dyDescent="0.45">
      <c r="A26" s="1"/>
      <c r="B26" s="13">
        <f>'January 1 &amp; July 1 2018'!B26*1.02</f>
        <v>0.37584520517473702</v>
      </c>
      <c r="C26" s="19" t="s">
        <v>59</v>
      </c>
      <c r="D26" s="19"/>
      <c r="E26" s="1"/>
      <c r="F26" s="1"/>
      <c r="G26" s="1"/>
      <c r="H26" s="1"/>
      <c r="I26" s="1"/>
      <c r="J26" s="1"/>
      <c r="K26" s="16"/>
      <c r="L26" s="1"/>
      <c r="M26" s="1"/>
      <c r="Q26" s="54"/>
    </row>
    <row r="27" spans="1:26" s="5" customFormat="1" ht="16.5" customHeight="1" x14ac:dyDescent="0.45">
      <c r="A27" s="1"/>
      <c r="B27" s="13">
        <f>'January 1 &amp; July 1 2018'!B27*1.02</f>
        <v>0.66876371027533243</v>
      </c>
      <c r="C27" s="19" t="s">
        <v>60</v>
      </c>
      <c r="D27" s="19"/>
      <c r="E27" s="1"/>
      <c r="F27" s="1"/>
      <c r="G27" s="1"/>
      <c r="H27" s="1"/>
      <c r="I27" s="1"/>
      <c r="J27" s="1"/>
      <c r="K27" s="16"/>
      <c r="L27" s="1"/>
      <c r="M27" s="1"/>
      <c r="Q27" s="54"/>
    </row>
    <row r="28" spans="1:26" s="5" customFormat="1" ht="10.5" customHeight="1" x14ac:dyDescent="0.45">
      <c r="A28" s="20"/>
      <c r="B28" s="20"/>
      <c r="C28" s="21"/>
      <c r="D28" s="21"/>
      <c r="E28" s="20"/>
      <c r="F28" s="20"/>
      <c r="G28" s="20"/>
      <c r="H28" s="21"/>
      <c r="I28" s="20"/>
      <c r="J28" s="20"/>
      <c r="K28" s="16"/>
      <c r="L28" s="1"/>
      <c r="M28" s="1"/>
      <c r="Q28" s="54"/>
    </row>
    <row r="29" spans="1:26" s="5" customFormat="1" ht="10.5" customHeight="1" x14ac:dyDescent="0.45">
      <c r="A29" s="64"/>
      <c r="B29" s="64"/>
      <c r="C29" s="65"/>
      <c r="D29" s="65"/>
      <c r="E29" s="64"/>
      <c r="F29" s="64"/>
      <c r="G29" s="64"/>
      <c r="H29" s="65"/>
      <c r="I29" s="64"/>
      <c r="J29" s="64"/>
      <c r="K29" s="16"/>
      <c r="L29" s="1"/>
      <c r="M29" s="1"/>
      <c r="Q29" s="54"/>
    </row>
    <row r="30" spans="1:26" s="5" customFormat="1" ht="20.25" customHeight="1" x14ac:dyDescent="0.45">
      <c r="A30" s="15" t="s">
        <v>98</v>
      </c>
      <c r="B30" s="16"/>
      <c r="C30" s="22"/>
      <c r="D30" s="22"/>
      <c r="E30" s="16"/>
      <c r="F30" s="16"/>
      <c r="G30" s="16"/>
      <c r="H30" s="22"/>
      <c r="I30" s="16"/>
      <c r="J30" s="16"/>
      <c r="K30" s="16"/>
      <c r="L30" s="1"/>
      <c r="M30" s="1"/>
      <c r="Q30" s="54"/>
    </row>
    <row r="31" spans="1:26" s="5" customFormat="1" x14ac:dyDescent="0.45">
      <c r="A31" s="6" t="s">
        <v>94</v>
      </c>
      <c r="B31" s="16"/>
      <c r="C31" s="22"/>
      <c r="D31" s="22"/>
      <c r="E31" s="16"/>
      <c r="F31" s="16"/>
      <c r="G31" s="16"/>
      <c r="H31" s="22"/>
      <c r="I31" s="16"/>
      <c r="J31" s="16"/>
      <c r="K31" s="16"/>
      <c r="L31" s="1"/>
      <c r="M31" s="1"/>
      <c r="Q31" s="55"/>
      <c r="R31" s="24"/>
      <c r="S31" s="25"/>
      <c r="T31" s="25"/>
      <c r="U31" s="24"/>
      <c r="V31" s="24"/>
      <c r="W31" s="24"/>
      <c r="X31" s="25"/>
      <c r="Y31" s="24"/>
      <c r="Z31" s="24"/>
    </row>
    <row r="32" spans="1:26" s="5" customFormat="1" ht="9.75" customHeight="1" x14ac:dyDescent="0.45">
      <c r="B32" s="3"/>
      <c r="C32" s="3"/>
      <c r="D32" s="1"/>
      <c r="E32" s="1"/>
      <c r="F32" s="1"/>
      <c r="G32" s="1"/>
      <c r="H32" s="3"/>
      <c r="I32" s="1"/>
      <c r="J32" s="1"/>
      <c r="K32" s="16"/>
      <c r="L32" s="1"/>
      <c r="M32" s="1"/>
      <c r="Q32" s="54"/>
      <c r="R32" s="27"/>
      <c r="S32" s="27"/>
      <c r="X32" s="27"/>
    </row>
    <row r="33" spans="1:26" s="5" customFormat="1" ht="30" customHeight="1" x14ac:dyDescent="0.45">
      <c r="A33" s="7" t="s">
        <v>2</v>
      </c>
      <c r="B33" s="43" t="s">
        <v>32</v>
      </c>
      <c r="C33" s="7" t="s">
        <v>33</v>
      </c>
      <c r="D33" s="8" t="s">
        <v>34</v>
      </c>
      <c r="E33" s="7" t="s">
        <v>35</v>
      </c>
      <c r="F33" s="7" t="s">
        <v>36</v>
      </c>
      <c r="G33" s="7" t="s">
        <v>37</v>
      </c>
      <c r="H33" s="7" t="s">
        <v>62</v>
      </c>
      <c r="I33" s="28" t="s">
        <v>63</v>
      </c>
      <c r="J33" s="9"/>
      <c r="K33" s="9"/>
      <c r="L33" s="16"/>
      <c r="M33" s="1"/>
      <c r="Q33" s="56"/>
      <c r="R33" s="29"/>
      <c r="S33" s="29"/>
      <c r="T33" s="30"/>
      <c r="U33" s="29"/>
      <c r="V33" s="29"/>
      <c r="W33" s="29"/>
      <c r="X33" s="29"/>
      <c r="Y33" s="31"/>
      <c r="Z33" s="23"/>
    </row>
    <row r="34" spans="1:26" s="5" customFormat="1" x14ac:dyDescent="0.45">
      <c r="A34" s="10" t="s">
        <v>39</v>
      </c>
      <c r="B34" s="11" t="s">
        <v>64</v>
      </c>
      <c r="C34" s="10" t="s">
        <v>65</v>
      </c>
      <c r="D34" s="4" t="s">
        <v>66</v>
      </c>
      <c r="E34" s="12"/>
      <c r="F34" s="12"/>
      <c r="G34" s="10" t="s">
        <v>42</v>
      </c>
      <c r="H34" s="13" t="s">
        <v>67</v>
      </c>
      <c r="I34" s="13">
        <f>'January 1 &amp; July 1 2018'!I34*1.02</f>
        <v>24.565269360769207</v>
      </c>
      <c r="J34" s="1"/>
      <c r="K34" s="1"/>
      <c r="L34" s="1"/>
      <c r="M34" s="1"/>
      <c r="Q34" s="56"/>
      <c r="R34" s="33"/>
      <c r="S34" s="32"/>
      <c r="T34" s="34"/>
      <c r="U34" s="35"/>
      <c r="V34" s="35"/>
      <c r="W34" s="32"/>
      <c r="X34" s="36"/>
      <c r="Y34" s="36"/>
      <c r="Z34" s="24"/>
    </row>
    <row r="35" spans="1:26" s="5" customFormat="1" x14ac:dyDescent="0.45">
      <c r="A35" s="10"/>
      <c r="B35" s="11"/>
      <c r="C35" s="10" t="s">
        <v>62</v>
      </c>
      <c r="D35" s="4" t="s">
        <v>68</v>
      </c>
      <c r="E35" s="12"/>
      <c r="F35" s="12"/>
      <c r="G35" s="10" t="s">
        <v>42</v>
      </c>
      <c r="H35" s="13">
        <f>'January 1 &amp; July 1 2018'!H35*1.02</f>
        <v>1.6712405119780562</v>
      </c>
      <c r="I35" s="13">
        <f>I$34+H35</f>
        <v>26.236509872747263</v>
      </c>
      <c r="J35" s="1"/>
      <c r="K35" s="1"/>
      <c r="L35" s="1"/>
      <c r="M35" s="1"/>
      <c r="Q35" s="56"/>
      <c r="R35" s="33"/>
      <c r="S35" s="32"/>
      <c r="T35" s="34"/>
      <c r="U35" s="35"/>
      <c r="V35" s="35"/>
      <c r="W35" s="32"/>
      <c r="X35" s="36"/>
      <c r="Y35" s="36"/>
      <c r="Z35" s="24"/>
    </row>
    <row r="36" spans="1:26" s="5" customFormat="1" x14ac:dyDescent="0.45">
      <c r="A36" s="10"/>
      <c r="B36" s="11"/>
      <c r="C36" s="10" t="s">
        <v>62</v>
      </c>
      <c r="D36" s="4" t="s">
        <v>69</v>
      </c>
      <c r="E36" s="12"/>
      <c r="F36" s="12"/>
      <c r="G36" s="10" t="s">
        <v>42</v>
      </c>
      <c r="H36" s="13">
        <f>'January 1 &amp; July 1 2018'!H36*1.02</f>
        <v>6.1501650840792479</v>
      </c>
      <c r="I36" s="13">
        <f t="shared" ref="I36:I37" si="0">I$34+H36</f>
        <v>30.715434444848455</v>
      </c>
      <c r="J36" s="1"/>
      <c r="K36" s="1"/>
      <c r="L36" s="1"/>
      <c r="M36" s="1"/>
      <c r="Q36" s="57"/>
      <c r="R36" s="38"/>
      <c r="S36" s="37"/>
      <c r="T36" s="39"/>
      <c r="U36" s="40"/>
      <c r="V36" s="40"/>
      <c r="W36" s="37"/>
      <c r="X36" s="41"/>
      <c r="Y36" s="41"/>
    </row>
    <row r="37" spans="1:26" s="5" customFormat="1" x14ac:dyDescent="0.45">
      <c r="A37" s="3"/>
      <c r="B37" s="11"/>
      <c r="C37" s="10" t="s">
        <v>62</v>
      </c>
      <c r="D37" s="4" t="s">
        <v>70</v>
      </c>
      <c r="E37" s="1"/>
      <c r="F37" s="1"/>
      <c r="G37" s="10" t="s">
        <v>42</v>
      </c>
      <c r="H37" s="13">
        <f>'January 1 &amp; July 1 2018'!H37*1.02</f>
        <v>15.287590659764756</v>
      </c>
      <c r="I37" s="13">
        <f t="shared" si="0"/>
        <v>39.852860020533967</v>
      </c>
      <c r="J37" s="1"/>
      <c r="K37" s="1"/>
      <c r="L37" s="1"/>
      <c r="M37" s="1"/>
      <c r="Q37" s="58"/>
      <c r="R37" s="38"/>
      <c r="S37" s="37"/>
      <c r="T37" s="39"/>
      <c r="W37" s="37"/>
      <c r="X37" s="41"/>
      <c r="Y37" s="41"/>
    </row>
    <row r="38" spans="1:26" s="5" customFormat="1" x14ac:dyDescent="0.45">
      <c r="A38" s="1"/>
      <c r="C38" s="3"/>
      <c r="D38" s="68" t="s">
        <v>71</v>
      </c>
      <c r="E38" s="1"/>
      <c r="F38" s="1"/>
      <c r="G38" s="1"/>
      <c r="H38" s="1"/>
      <c r="I38" s="1"/>
      <c r="J38" s="1"/>
      <c r="K38" s="1"/>
      <c r="L38" s="1"/>
      <c r="M38" s="1"/>
      <c r="Q38" s="54"/>
      <c r="R38" s="39"/>
      <c r="S38" s="27"/>
    </row>
    <row r="39" spans="1:26" s="5" customFormat="1" x14ac:dyDescent="0.45">
      <c r="A39" s="1"/>
      <c r="B39" s="1"/>
      <c r="C39" s="10" t="s">
        <v>62</v>
      </c>
      <c r="D39" s="4" t="s">
        <v>72</v>
      </c>
      <c r="E39" s="1"/>
      <c r="F39" s="1"/>
      <c r="G39" s="10" t="s">
        <v>73</v>
      </c>
      <c r="H39" s="13">
        <f>'January 1 &amp; July 1 2018'!H39*1.02</f>
        <v>7.2463835558972622</v>
      </c>
      <c r="I39" s="13">
        <f>I$34+H39</f>
        <v>31.811652916666468</v>
      </c>
      <c r="J39" s="1"/>
      <c r="K39" s="1"/>
      <c r="L39" s="1"/>
      <c r="M39" s="1"/>
      <c r="Q39" s="54"/>
      <c r="S39" s="37"/>
      <c r="T39" s="39"/>
      <c r="W39" s="37"/>
      <c r="X39" s="42"/>
      <c r="Y39" s="41"/>
    </row>
    <row r="40" spans="1:26" s="5" customFormat="1" ht="14.25" customHeight="1" x14ac:dyDescent="0.45">
      <c r="A40" s="4" t="s">
        <v>89</v>
      </c>
      <c r="B40" s="1"/>
      <c r="C40" s="10"/>
      <c r="D40" s="4"/>
      <c r="E40" s="1"/>
      <c r="F40" s="1"/>
      <c r="G40" s="10"/>
      <c r="H40" s="13"/>
      <c r="I40" s="13"/>
      <c r="J40" s="1"/>
      <c r="K40" s="1"/>
      <c r="L40" s="1"/>
      <c r="M40" s="1"/>
      <c r="Q40" s="54"/>
      <c r="S40" s="37"/>
      <c r="T40" s="39"/>
      <c r="W40" s="37"/>
      <c r="X40" s="42"/>
      <c r="Y40" s="41"/>
    </row>
    <row r="41" spans="1:26" s="5" customFormat="1" ht="14.25" customHeight="1" x14ac:dyDescent="0.45">
      <c r="A41" s="73"/>
      <c r="B41" s="20" t="s">
        <v>90</v>
      </c>
      <c r="C41" s="74"/>
      <c r="D41" s="73"/>
      <c r="E41" s="20"/>
      <c r="F41" s="20"/>
      <c r="G41" s="74"/>
      <c r="H41" s="76"/>
      <c r="I41" s="76"/>
      <c r="J41" s="1"/>
      <c r="K41" s="1"/>
      <c r="L41" s="1"/>
      <c r="M41" s="1"/>
      <c r="Q41" s="54"/>
      <c r="S41" s="37"/>
      <c r="T41" s="39"/>
      <c r="W41" s="37"/>
      <c r="X41" s="42"/>
      <c r="Y41" s="41"/>
    </row>
    <row r="42" spans="1:26" s="5" customFormat="1" x14ac:dyDescent="0.45">
      <c r="A42" s="15"/>
      <c r="C42" s="1"/>
      <c r="D42" s="1"/>
      <c r="E42" s="1"/>
      <c r="F42" s="1"/>
      <c r="G42" s="1"/>
      <c r="H42" s="1"/>
      <c r="I42" s="1"/>
      <c r="J42" s="1"/>
      <c r="K42" s="1"/>
      <c r="L42" s="1"/>
      <c r="M42" s="1"/>
      <c r="Q42" s="54"/>
    </row>
    <row r="43" spans="1:26" s="5" customFormat="1" x14ac:dyDescent="0.45">
      <c r="A43" s="1" t="s">
        <v>75</v>
      </c>
      <c r="C43" s="1"/>
      <c r="D43" s="1"/>
      <c r="E43" s="1"/>
      <c r="F43" s="1"/>
      <c r="G43" s="1"/>
      <c r="H43" s="1"/>
      <c r="I43" s="1"/>
      <c r="J43" s="1"/>
      <c r="K43" s="1"/>
      <c r="L43" s="1"/>
      <c r="M43" s="1"/>
      <c r="Q43" s="54"/>
    </row>
    <row r="44" spans="1:26" s="5" customFormat="1" x14ac:dyDescent="0.45">
      <c r="A44" s="1" t="s">
        <v>76</v>
      </c>
      <c r="C44" s="1"/>
      <c r="D44" s="1"/>
      <c r="E44" s="1"/>
      <c r="F44" s="1"/>
      <c r="G44" s="1"/>
      <c r="H44" s="1"/>
      <c r="I44" s="1"/>
      <c r="J44" s="1"/>
      <c r="K44" s="1"/>
      <c r="L44" s="1"/>
      <c r="M44" s="1"/>
      <c r="Q44" s="54"/>
    </row>
    <row r="45" spans="1:26" s="5" customFormat="1" x14ac:dyDescent="0.45">
      <c r="A45" s="1" t="s">
        <v>99</v>
      </c>
      <c r="C45" s="1"/>
      <c r="D45" s="1"/>
      <c r="E45" s="1"/>
      <c r="F45" s="1"/>
      <c r="G45" s="1"/>
      <c r="H45" s="1"/>
      <c r="I45" s="1"/>
      <c r="J45" s="1"/>
      <c r="K45" s="1"/>
      <c r="L45" s="1"/>
      <c r="M45" s="1"/>
      <c r="Q45" s="54"/>
    </row>
    <row r="46" spans="1:26" s="5" customFormat="1" ht="9" customHeight="1" x14ac:dyDescent="0.45">
      <c r="A46" s="1"/>
      <c r="B46" s="1"/>
      <c r="C46" s="1"/>
      <c r="D46" s="1"/>
      <c r="E46" s="1"/>
      <c r="F46" s="1"/>
      <c r="G46" s="1"/>
      <c r="H46" s="1"/>
      <c r="I46" s="1"/>
      <c r="J46" s="1"/>
      <c r="K46" s="1"/>
      <c r="L46" s="1"/>
      <c r="M46" s="1"/>
      <c r="Q46" s="54"/>
    </row>
    <row r="47" spans="1:26" s="5" customFormat="1" x14ac:dyDescent="0.45">
      <c r="A47" s="15" t="s">
        <v>93</v>
      </c>
      <c r="C47" s="1"/>
      <c r="D47" s="1"/>
      <c r="E47" s="1"/>
      <c r="F47" s="1"/>
      <c r="G47" s="1"/>
      <c r="H47" s="1"/>
      <c r="I47" s="1"/>
      <c r="J47" s="1"/>
      <c r="K47" s="1"/>
      <c r="L47" s="1"/>
      <c r="M47" s="1"/>
      <c r="Q47" s="54"/>
    </row>
    <row r="48" spans="1:26" s="5" customFormat="1" x14ac:dyDescent="0.45">
      <c r="A48" s="1" t="s">
        <v>75</v>
      </c>
      <c r="C48" s="1"/>
      <c r="D48" s="1"/>
      <c r="E48" s="1"/>
      <c r="F48" s="1"/>
      <c r="G48" s="1"/>
      <c r="H48" s="1"/>
      <c r="I48" s="1"/>
      <c r="J48" s="1"/>
      <c r="K48" s="1"/>
      <c r="L48" s="1"/>
      <c r="M48" s="1"/>
      <c r="Q48" s="54"/>
    </row>
    <row r="49" spans="1:17" s="5" customFormat="1" x14ac:dyDescent="0.45">
      <c r="A49" s="1" t="s">
        <v>79</v>
      </c>
      <c r="C49" s="1"/>
      <c r="D49" s="1"/>
      <c r="E49" s="1"/>
      <c r="F49" s="1"/>
      <c r="G49" s="1"/>
      <c r="H49" s="1"/>
      <c r="I49" s="1"/>
      <c r="J49" s="1"/>
      <c r="K49" s="1"/>
      <c r="L49" s="1"/>
      <c r="M49" s="1"/>
      <c r="Q49" s="54"/>
    </row>
    <row r="50" spans="1:17" s="5" customFormat="1" x14ac:dyDescent="0.45">
      <c r="A50" s="1" t="s">
        <v>80</v>
      </c>
      <c r="C50" s="1"/>
      <c r="D50" s="1"/>
      <c r="E50" s="1"/>
      <c r="F50" s="1"/>
      <c r="G50" s="1"/>
      <c r="H50" s="1"/>
      <c r="I50" s="1"/>
      <c r="J50" s="1"/>
      <c r="K50" s="1"/>
      <c r="L50" s="1"/>
      <c r="M50" s="1"/>
      <c r="Q50" s="54"/>
    </row>
    <row r="51" spans="1:17" s="5" customFormat="1" x14ac:dyDescent="0.45">
      <c r="A51" s="1" t="s">
        <v>81</v>
      </c>
      <c r="C51" s="1"/>
      <c r="D51" s="1"/>
      <c r="E51" s="1"/>
      <c r="F51" s="1"/>
      <c r="G51" s="1"/>
      <c r="H51" s="1"/>
      <c r="I51" s="1"/>
      <c r="J51" s="1"/>
      <c r="K51" s="1"/>
      <c r="L51" s="1"/>
      <c r="M51" s="1"/>
      <c r="Q51" s="54"/>
    </row>
    <row r="53" spans="1:17" s="5" customFormat="1" x14ac:dyDescent="0.45">
      <c r="A53" s="6"/>
      <c r="B53" s="16"/>
      <c r="C53" s="22"/>
      <c r="D53" s="22"/>
      <c r="E53" s="1"/>
      <c r="F53" s="1"/>
      <c r="G53" s="1"/>
      <c r="H53" s="1"/>
      <c r="I53" s="1"/>
      <c r="J53" s="1"/>
      <c r="K53" s="1"/>
      <c r="L53" s="1"/>
      <c r="M53" s="1"/>
      <c r="Q53" s="54"/>
    </row>
    <row r="54" spans="1:17" s="5" customFormat="1" x14ac:dyDescent="0.45">
      <c r="A54" s="15"/>
      <c r="B54" s="3"/>
      <c r="C54" s="3"/>
      <c r="D54" s="1"/>
      <c r="E54" s="1"/>
      <c r="F54" s="1"/>
      <c r="G54" s="1"/>
      <c r="H54" s="1"/>
      <c r="I54" s="1"/>
      <c r="J54" s="1"/>
      <c r="K54" s="1"/>
      <c r="L54" s="1"/>
      <c r="M54" s="1"/>
      <c r="Q54" s="54"/>
    </row>
  </sheetData>
  <pageMargins left="0.5" right="0" top="1" bottom="0.25" header="0.5" footer="0.5"/>
  <pageSetup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17C32-F8CB-4543-8EA3-E3C9CB2068AB}">
  <sheetPr codeName="Sheet5"/>
  <dimension ref="A1:Z50"/>
  <sheetViews>
    <sheetView workbookViewId="0">
      <selection activeCell="H10" sqref="H10"/>
    </sheetView>
  </sheetViews>
  <sheetFormatPr defaultColWidth="5.59765625" defaultRowHeight="14.25" x14ac:dyDescent="0.45"/>
  <cols>
    <col min="1" max="1" width="5.59765625" style="84" customWidth="1"/>
    <col min="2" max="2" width="7.73046875" style="84" customWidth="1"/>
    <col min="3" max="3" width="9.86328125" style="84" customWidth="1"/>
    <col min="4" max="4" width="54.73046875" style="84" bestFit="1" customWidth="1"/>
    <col min="5" max="5" width="6.59765625" style="84" bestFit="1" customWidth="1"/>
    <col min="6" max="6" width="2.3984375" style="84" bestFit="1" customWidth="1"/>
    <col min="7" max="7" width="6.86328125" style="84" customWidth="1"/>
    <col min="8" max="8" width="10.73046875" style="84" bestFit="1" customWidth="1"/>
    <col min="9" max="9" width="8.86328125" style="84" customWidth="1"/>
    <col min="10" max="10" width="7.265625" style="84" customWidth="1"/>
    <col min="11" max="11" width="6.1328125" style="84" bestFit="1" customWidth="1"/>
    <col min="12" max="12" width="7.265625" style="84" bestFit="1" customWidth="1"/>
    <col min="13" max="13" width="8.73046875" style="134" bestFit="1" customWidth="1"/>
    <col min="14" max="14" width="21.3984375" style="132" bestFit="1" customWidth="1"/>
    <col min="15" max="15" width="7.59765625" style="133" bestFit="1" customWidth="1"/>
    <col min="16" max="16" width="14.86328125" style="87" customWidth="1"/>
    <col min="17" max="17" width="10.3984375" style="86" bestFit="1" customWidth="1"/>
    <col min="18" max="18" width="9.1328125" style="86" bestFit="1" customWidth="1"/>
    <col min="19" max="19" width="28.1328125" style="86" bestFit="1" customWidth="1"/>
    <col min="20" max="20" width="11" style="86" bestFit="1" customWidth="1"/>
    <col min="21" max="22" width="5.59765625" style="86"/>
    <col min="23" max="23" width="8.265625" style="86" customWidth="1"/>
    <col min="24" max="24" width="9.3984375" style="86" customWidth="1"/>
    <col min="25" max="26" width="5.59765625" style="86"/>
    <col min="27" max="16384" width="5.59765625" style="84"/>
  </cols>
  <sheetData>
    <row r="1" spans="1:16" s="86" customFormat="1" ht="15.75" x14ac:dyDescent="0.5">
      <c r="A1" s="82" t="s">
        <v>26</v>
      </c>
      <c r="B1" s="83"/>
      <c r="C1" s="83"/>
      <c r="D1" s="84"/>
      <c r="E1" s="84"/>
      <c r="F1" s="84"/>
      <c r="G1" s="85" t="s">
        <v>27</v>
      </c>
      <c r="H1" s="83"/>
      <c r="I1" s="84"/>
      <c r="J1" s="84"/>
      <c r="K1" s="84"/>
      <c r="M1" s="131">
        <v>2.5000000000000001E-2</v>
      </c>
      <c r="N1" s="132"/>
      <c r="O1" s="133"/>
      <c r="P1" s="87"/>
    </row>
    <row r="2" spans="1:16" s="86" customFormat="1" x14ac:dyDescent="0.45">
      <c r="A2" s="88" t="s">
        <v>28</v>
      </c>
      <c r="B2" s="83"/>
      <c r="C2" s="83"/>
      <c r="D2" s="84"/>
      <c r="E2" s="84"/>
      <c r="F2" s="84"/>
      <c r="G2" s="84"/>
      <c r="H2" s="83"/>
      <c r="I2" s="84"/>
      <c r="J2" s="84"/>
      <c r="K2" s="84"/>
      <c r="L2" s="84"/>
      <c r="M2" s="134"/>
      <c r="N2" s="132"/>
      <c r="O2" s="133"/>
      <c r="P2" s="87"/>
    </row>
    <row r="3" spans="1:16" s="86" customFormat="1" x14ac:dyDescent="0.45">
      <c r="A3" s="89" t="s">
        <v>100</v>
      </c>
      <c r="B3" s="83"/>
      <c r="C3" s="83"/>
      <c r="D3" s="84"/>
      <c r="E3" s="84"/>
      <c r="F3" s="84"/>
      <c r="G3" s="84"/>
      <c r="H3" s="83"/>
      <c r="I3" s="84"/>
      <c r="J3" s="84"/>
      <c r="K3" s="84"/>
      <c r="L3" s="84"/>
      <c r="M3" s="134"/>
      <c r="N3" s="132"/>
      <c r="O3" s="133"/>
      <c r="P3" s="87"/>
    </row>
    <row r="4" spans="1:16" s="86" customFormat="1" ht="10.5" customHeight="1" x14ac:dyDescent="0.45">
      <c r="A4" s="88"/>
      <c r="B4" s="83"/>
      <c r="C4" s="83"/>
      <c r="D4" s="84"/>
      <c r="E4" s="84"/>
      <c r="F4" s="84"/>
      <c r="G4" s="84"/>
      <c r="H4" s="83"/>
      <c r="I4" s="84"/>
      <c r="J4" s="84"/>
      <c r="K4" s="84"/>
      <c r="L4" s="84"/>
      <c r="M4" s="134"/>
      <c r="N4" s="132"/>
      <c r="O4" s="133"/>
      <c r="P4" s="87"/>
    </row>
    <row r="5" spans="1:16" s="86" customFormat="1" x14ac:dyDescent="0.45">
      <c r="A5" s="88" t="s">
        <v>30</v>
      </c>
      <c r="B5" s="83"/>
      <c r="C5" s="83"/>
      <c r="D5" s="84"/>
      <c r="E5" s="84"/>
      <c r="F5" s="84"/>
      <c r="G5" s="84"/>
      <c r="H5" s="83"/>
      <c r="I5" s="84"/>
      <c r="J5" s="84"/>
      <c r="K5" s="84"/>
      <c r="L5" s="84"/>
      <c r="M5" s="134"/>
      <c r="N5" s="132"/>
      <c r="O5" s="133"/>
      <c r="P5" s="87"/>
    </row>
    <row r="6" spans="1:16" s="86" customFormat="1" ht="57.75" x14ac:dyDescent="0.45">
      <c r="A6" s="90" t="s">
        <v>31</v>
      </c>
      <c r="B6" s="90" t="s">
        <v>32</v>
      </c>
      <c r="C6" s="91" t="s">
        <v>101</v>
      </c>
      <c r="D6" s="92" t="s">
        <v>102</v>
      </c>
      <c r="E6" s="91" t="s">
        <v>103</v>
      </c>
      <c r="F6" s="93" t="s">
        <v>12</v>
      </c>
      <c r="G6" s="90" t="s">
        <v>104</v>
      </c>
      <c r="H6" s="90" t="s">
        <v>105</v>
      </c>
      <c r="I6" s="94"/>
      <c r="J6" s="94"/>
      <c r="K6" s="84"/>
      <c r="L6" s="84"/>
      <c r="M6" s="134"/>
      <c r="N6" s="132"/>
      <c r="O6" s="133"/>
      <c r="P6" s="87"/>
    </row>
    <row r="7" spans="1:16" s="86" customFormat="1" x14ac:dyDescent="0.45">
      <c r="A7" s="83" t="s">
        <v>39</v>
      </c>
      <c r="B7" s="95" t="s">
        <v>40</v>
      </c>
      <c r="C7" s="83" t="s">
        <v>19</v>
      </c>
      <c r="D7" s="84" t="s">
        <v>41</v>
      </c>
      <c r="E7" s="84">
        <v>293</v>
      </c>
      <c r="F7" s="83">
        <v>6</v>
      </c>
      <c r="G7" s="83" t="s">
        <v>42</v>
      </c>
      <c r="H7" s="96">
        <f>VLOOKUP(C7,January2019,6,0)*(1+Incr2020)</f>
        <v>31.954936511978534</v>
      </c>
      <c r="I7" s="84"/>
      <c r="J7" s="84"/>
      <c r="K7" s="84"/>
      <c r="L7" s="84"/>
      <c r="M7" s="134"/>
      <c r="N7" s="132"/>
      <c r="O7" s="133"/>
      <c r="P7" s="87"/>
    </row>
    <row r="8" spans="1:16" s="86" customFormat="1" x14ac:dyDescent="0.45">
      <c r="A8" s="83" t="s">
        <v>39</v>
      </c>
      <c r="B8" s="95" t="s">
        <v>43</v>
      </c>
      <c r="C8" s="83" t="s">
        <v>23</v>
      </c>
      <c r="D8" s="84" t="s">
        <v>44</v>
      </c>
      <c r="E8" s="84">
        <v>323</v>
      </c>
      <c r="F8" s="83">
        <v>7</v>
      </c>
      <c r="G8" s="83" t="s">
        <v>42</v>
      </c>
      <c r="H8" s="96">
        <f>VLOOKUP(C8,January2019,6,0)*(1+Incr2020)</f>
        <v>35.57869219890393</v>
      </c>
      <c r="I8" s="84"/>
      <c r="J8" s="84"/>
      <c r="K8" s="84"/>
      <c r="L8" s="84"/>
      <c r="M8" s="134"/>
      <c r="N8" s="132"/>
      <c r="O8" s="133"/>
      <c r="P8" s="87"/>
    </row>
    <row r="9" spans="1:16" s="86" customFormat="1" ht="9" customHeight="1" x14ac:dyDescent="0.45">
      <c r="A9" s="84"/>
      <c r="B9" s="84"/>
      <c r="C9" s="84"/>
      <c r="D9" s="84"/>
      <c r="E9" s="84"/>
      <c r="F9" s="83"/>
      <c r="G9" s="83"/>
      <c r="H9" s="96"/>
      <c r="I9" s="84"/>
      <c r="J9" s="84"/>
      <c r="K9" s="84"/>
      <c r="L9" s="84"/>
      <c r="M9" s="134"/>
      <c r="N9" s="132"/>
      <c r="O9" s="133"/>
      <c r="P9" s="87"/>
    </row>
    <row r="10" spans="1:16" s="86" customFormat="1" ht="12" customHeight="1" x14ac:dyDescent="0.45">
      <c r="A10" s="88" t="s">
        <v>45</v>
      </c>
      <c r="B10" s="88"/>
      <c r="C10" s="88"/>
      <c r="D10" s="85" t="s">
        <v>46</v>
      </c>
      <c r="E10" s="84"/>
      <c r="F10" s="83"/>
      <c r="G10" s="83" t="s">
        <v>42</v>
      </c>
      <c r="H10" s="96">
        <f>'January 1 2019'!H10*(1+Incr2020)</f>
        <v>12.408609700489167</v>
      </c>
      <c r="I10" s="84"/>
      <c r="J10" s="84"/>
      <c r="K10" s="84"/>
      <c r="L10" s="84"/>
      <c r="M10" s="130" t="s">
        <v>106</v>
      </c>
      <c r="N10" s="130" t="s">
        <v>107</v>
      </c>
      <c r="O10" s="135">
        <f>H10</f>
        <v>12.408609700489167</v>
      </c>
      <c r="P10" s="87"/>
    </row>
    <row r="11" spans="1:16" s="86" customFormat="1" ht="12" customHeight="1" x14ac:dyDescent="0.45">
      <c r="A11" s="83"/>
      <c r="B11" s="84"/>
      <c r="C11" s="83"/>
      <c r="D11" s="85" t="s">
        <v>47</v>
      </c>
      <c r="E11" s="84"/>
      <c r="F11" s="84"/>
      <c r="G11" s="83"/>
      <c r="H11" s="97"/>
      <c r="I11" s="84"/>
      <c r="J11" s="84"/>
      <c r="K11" s="84"/>
      <c r="L11" s="84"/>
      <c r="M11" s="134"/>
      <c r="N11" s="132"/>
      <c r="O11" s="133"/>
      <c r="P11" s="98"/>
    </row>
    <row r="12" spans="1:16" s="86" customFormat="1" ht="8.25" customHeight="1" x14ac:dyDescent="0.45">
      <c r="A12" s="84"/>
      <c r="B12" s="84"/>
      <c r="C12" s="83"/>
      <c r="D12" s="84"/>
      <c r="E12" s="84"/>
      <c r="F12" s="84"/>
      <c r="G12" s="84"/>
      <c r="H12" s="83" t="s">
        <v>48</v>
      </c>
      <c r="I12" s="84"/>
      <c r="J12" s="84"/>
      <c r="K12" s="84"/>
      <c r="L12" s="84"/>
      <c r="M12" s="134"/>
      <c r="N12" s="132"/>
      <c r="O12" s="133"/>
      <c r="P12" s="98"/>
    </row>
    <row r="13" spans="1:16" s="86" customFormat="1" ht="12" customHeight="1" x14ac:dyDescent="0.45">
      <c r="A13" s="99" t="s">
        <v>49</v>
      </c>
      <c r="B13" s="85"/>
      <c r="C13" s="83"/>
      <c r="D13" s="84"/>
      <c r="E13" s="84"/>
      <c r="F13" s="84"/>
      <c r="G13" s="84"/>
      <c r="H13" s="83"/>
      <c r="I13" s="84"/>
      <c r="J13" s="84"/>
      <c r="K13" s="84"/>
      <c r="L13" s="84"/>
      <c r="M13" s="134"/>
      <c r="N13" s="132"/>
      <c r="O13" s="133"/>
      <c r="P13" s="98"/>
    </row>
    <row r="14" spans="1:16" s="86" customFormat="1" ht="12" customHeight="1" x14ac:dyDescent="0.45">
      <c r="A14" s="100" t="str">
        <f>"A "&amp;TEXT(O14,"$#.###")&amp;" per hour shift differential be paid for shifts that start between the hours of 5:00 p.m. and 4:00 a.m."</f>
        <v>A $1.977 per hour shift differential be paid for shifts that start between the hours of 5:00 p.m. and 4:00 a.m.</v>
      </c>
      <c r="B14" s="100"/>
      <c r="C14" s="100"/>
      <c r="D14" s="100"/>
      <c r="E14" s="100"/>
      <c r="F14" s="100"/>
      <c r="G14" s="100"/>
      <c r="H14" s="100"/>
      <c r="I14" s="100"/>
      <c r="J14" s="100"/>
      <c r="K14" s="101"/>
      <c r="M14" s="130" t="s">
        <v>108</v>
      </c>
      <c r="N14" s="130" t="s">
        <v>109</v>
      </c>
      <c r="O14" s="136">
        <f>1.929*(1+Incr2020)</f>
        <v>1.9772249999999998</v>
      </c>
      <c r="P14" s="98">
        <f>1.891*1.02</f>
        <v>1.92882</v>
      </c>
    </row>
    <row r="15" spans="1:16" s="86" customFormat="1" ht="12" customHeight="1" x14ac:dyDescent="0.45">
      <c r="A15" s="84"/>
      <c r="B15" s="85"/>
      <c r="C15" s="96"/>
      <c r="D15" s="84"/>
      <c r="E15" s="84"/>
      <c r="F15" s="84"/>
      <c r="G15" s="84"/>
      <c r="H15" s="83"/>
      <c r="I15" s="84"/>
      <c r="J15" s="84"/>
      <c r="K15" s="101"/>
      <c r="M15" s="134"/>
      <c r="N15" s="132"/>
      <c r="O15" s="133"/>
      <c r="P15" s="98"/>
    </row>
    <row r="16" spans="1:16" s="86" customFormat="1" x14ac:dyDescent="0.45">
      <c r="A16" s="100" t="str">
        <f>"A "&amp;TEXT(O16,"$#.###")&amp;" per hour shift differential be paid for shifts that start between the hours of 5:00 a.m. and 6:00 a.m., "</f>
        <v xml:space="preserve">A $1.02 per hour shift differential be paid for shifts that start between the hours of 5:00 a.m. and 6:00 a.m., </v>
      </c>
      <c r="B16" s="100"/>
      <c r="C16" s="100"/>
      <c r="D16" s="100"/>
      <c r="E16" s="100"/>
      <c r="F16" s="100"/>
      <c r="G16" s="100"/>
      <c r="H16" s="100"/>
      <c r="I16" s="100"/>
      <c r="J16" s="100"/>
      <c r="K16" s="101"/>
      <c r="M16" s="130" t="s">
        <v>110</v>
      </c>
      <c r="N16" s="130" t="s">
        <v>111</v>
      </c>
      <c r="O16" s="136">
        <f>0.995*(1+Incr2020)</f>
        <v>1.0198749999999999</v>
      </c>
      <c r="P16" s="98">
        <f>0.946*1.02</f>
        <v>0.96492</v>
      </c>
    </row>
    <row r="17" spans="1:25" s="103" customFormat="1" ht="15" customHeight="1" x14ac:dyDescent="0.45">
      <c r="A17" s="103" t="s">
        <v>112</v>
      </c>
      <c r="M17" s="130" t="s">
        <v>113</v>
      </c>
      <c r="N17" s="130" t="s">
        <v>107</v>
      </c>
      <c r="O17" s="136">
        <f>O16</f>
        <v>1.0198749999999999</v>
      </c>
      <c r="P17" s="98"/>
    </row>
    <row r="18" spans="1:25" s="103" customFormat="1" ht="15" customHeight="1" x14ac:dyDescent="0.45">
      <c r="M18" s="133"/>
      <c r="N18" s="133"/>
      <c r="O18" s="133"/>
      <c r="P18" s="98"/>
    </row>
    <row r="19" spans="1:25" s="86" customFormat="1" ht="12" customHeight="1" x14ac:dyDescent="0.45">
      <c r="A19" s="99" t="s">
        <v>85</v>
      </c>
      <c r="B19" s="84"/>
      <c r="C19" s="96"/>
      <c r="D19" s="84"/>
      <c r="E19" s="84"/>
      <c r="F19" s="84"/>
      <c r="G19" s="84"/>
      <c r="H19" s="83"/>
      <c r="I19" s="84"/>
      <c r="J19" s="84"/>
      <c r="K19" s="101"/>
      <c r="M19" s="134"/>
      <c r="N19" s="132"/>
      <c r="O19" s="133"/>
      <c r="P19" s="98"/>
    </row>
    <row r="20" spans="1:25" s="86" customFormat="1" ht="18.75" customHeight="1" x14ac:dyDescent="0.45">
      <c r="A20" s="100" t="str">
        <f>"A "&amp;TEXT(O20,"$#.###")&amp;" per hour premium be paid for each hour worked as an employer-designated Lead Worker."</f>
        <v>A $1.318 per hour premium be paid for each hour worked as an employer-designated Lead Worker.</v>
      </c>
      <c r="B20" s="100"/>
      <c r="C20" s="100"/>
      <c r="D20" s="100"/>
      <c r="E20" s="100"/>
      <c r="F20" s="100"/>
      <c r="G20" s="100"/>
      <c r="H20" s="100"/>
      <c r="I20" s="100"/>
      <c r="J20" s="100"/>
      <c r="K20" s="101"/>
      <c r="M20" s="130" t="s">
        <v>114</v>
      </c>
      <c r="N20" s="130" t="s">
        <v>115</v>
      </c>
      <c r="O20" s="136">
        <f>1.286*(1+Incr2020)</f>
        <v>1.3181499999999999</v>
      </c>
      <c r="P20" s="98">
        <f>1.261*1.02</f>
        <v>1.2862199999999999</v>
      </c>
    </row>
    <row r="21" spans="1:25" s="86" customFormat="1" ht="12" customHeight="1" x14ac:dyDescent="0.45">
      <c r="A21" s="85"/>
      <c r="B21" s="85"/>
      <c r="C21" s="96"/>
      <c r="D21" s="84"/>
      <c r="E21" s="84"/>
      <c r="F21" s="84"/>
      <c r="G21" s="84"/>
      <c r="H21" s="83"/>
      <c r="I21" s="84"/>
      <c r="J21" s="84"/>
      <c r="K21" s="101"/>
      <c r="L21" s="84"/>
      <c r="M21" s="134"/>
      <c r="N21" s="132"/>
      <c r="O21" s="133"/>
      <c r="P21" s="87"/>
    </row>
    <row r="22" spans="1:25" s="86" customFormat="1" ht="17.25" customHeight="1" x14ac:dyDescent="0.45">
      <c r="A22" s="104" t="s">
        <v>55</v>
      </c>
      <c r="B22" s="104"/>
      <c r="C22" s="104"/>
      <c r="D22" s="104"/>
      <c r="E22" s="104"/>
      <c r="F22" s="104"/>
      <c r="G22" s="104"/>
      <c r="H22" s="104"/>
      <c r="I22" s="104"/>
      <c r="J22" s="104"/>
      <c r="K22" s="101"/>
      <c r="L22" s="84"/>
      <c r="M22" s="134"/>
      <c r="N22" s="132"/>
      <c r="O22" s="133"/>
      <c r="P22" s="87"/>
    </row>
    <row r="23" spans="1:25" s="86" customFormat="1" ht="16.5" customHeight="1" x14ac:dyDescent="0.45">
      <c r="A23" s="100" t="s">
        <v>56</v>
      </c>
      <c r="B23" s="100"/>
      <c r="C23" s="100"/>
      <c r="D23" s="100"/>
      <c r="E23" s="100"/>
      <c r="F23" s="100"/>
      <c r="G23" s="100"/>
      <c r="H23" s="100"/>
      <c r="I23" s="100"/>
      <c r="J23" s="100"/>
      <c r="K23" s="101"/>
      <c r="L23" s="84"/>
      <c r="M23" s="134" t="s">
        <v>116</v>
      </c>
      <c r="N23" s="132"/>
      <c r="O23" s="133"/>
      <c r="P23" s="87"/>
    </row>
    <row r="24" spans="1:25" s="86" customFormat="1" ht="16.5" customHeight="1" x14ac:dyDescent="0.45">
      <c r="A24" s="84"/>
      <c r="B24" s="96">
        <f>('January 1 2019'!B24+0.02)*(1+Incr2020)</f>
        <v>0.14937076697005655</v>
      </c>
      <c r="C24" s="85" t="s">
        <v>57</v>
      </c>
      <c r="D24" s="85"/>
      <c r="E24" s="85"/>
      <c r="F24" s="85"/>
      <c r="G24" s="85"/>
      <c r="H24" s="85"/>
      <c r="I24" s="85"/>
      <c r="J24" s="85"/>
      <c r="K24" s="101"/>
      <c r="L24" s="84"/>
      <c r="M24" s="134" t="s">
        <v>117</v>
      </c>
      <c r="N24" s="132"/>
      <c r="O24" s="135">
        <f>B24</f>
        <v>0.14937076697005655</v>
      </c>
      <c r="P24" s="87"/>
    </row>
    <row r="25" spans="1:25" s="86" customFormat="1" ht="16.5" customHeight="1" x14ac:dyDescent="0.45">
      <c r="A25" s="84"/>
      <c r="B25" s="96">
        <f>('January 1 2019'!B25+0.02)*(1+Incr2020)</f>
        <v>0.33308015818269032</v>
      </c>
      <c r="C25" s="100" t="s">
        <v>58</v>
      </c>
      <c r="D25" s="100"/>
      <c r="E25" s="100"/>
      <c r="F25" s="100"/>
      <c r="G25" s="100"/>
      <c r="H25" s="100"/>
      <c r="I25" s="100"/>
      <c r="J25" s="100"/>
      <c r="K25" s="101"/>
      <c r="L25" s="84"/>
      <c r="M25" s="134" t="s">
        <v>118</v>
      </c>
      <c r="N25" s="132"/>
      <c r="O25" s="135">
        <f t="shared" ref="O25:O27" si="0">B25</f>
        <v>0.33308015818269032</v>
      </c>
      <c r="P25" s="87"/>
    </row>
    <row r="26" spans="1:25" s="86" customFormat="1" ht="16.5" customHeight="1" x14ac:dyDescent="0.45">
      <c r="A26" s="84"/>
      <c r="B26" s="96">
        <f>('January 1 2019'!B26+0.02)*(1+Incr2020)</f>
        <v>0.40574133530410544</v>
      </c>
      <c r="C26" s="100" t="s">
        <v>59</v>
      </c>
      <c r="D26" s="100"/>
      <c r="E26" s="100"/>
      <c r="F26" s="100"/>
      <c r="G26" s="100"/>
      <c r="H26" s="100"/>
      <c r="I26" s="100"/>
      <c r="J26" s="100"/>
      <c r="K26" s="101"/>
      <c r="L26" s="84"/>
      <c r="M26" s="134" t="s">
        <v>119</v>
      </c>
      <c r="N26" s="132"/>
      <c r="O26" s="135">
        <f t="shared" si="0"/>
        <v>0.40574133530410544</v>
      </c>
      <c r="P26" s="87"/>
    </row>
    <row r="27" spans="1:25" s="86" customFormat="1" ht="16.5" customHeight="1" x14ac:dyDescent="0.45">
      <c r="A27" s="84"/>
      <c r="B27" s="96">
        <f>('January 1 2019'!B27+0.02)*(1+Incr2020)</f>
        <v>0.70598280303221572</v>
      </c>
      <c r="C27" s="100" t="s">
        <v>60</v>
      </c>
      <c r="D27" s="100"/>
      <c r="E27" s="100"/>
      <c r="F27" s="100"/>
      <c r="G27" s="100"/>
      <c r="H27" s="100"/>
      <c r="I27" s="100"/>
      <c r="J27" s="100"/>
      <c r="K27" s="101"/>
      <c r="L27" s="84"/>
      <c r="M27" s="134" t="s">
        <v>120</v>
      </c>
      <c r="N27" s="132"/>
      <c r="O27" s="135">
        <f t="shared" si="0"/>
        <v>0.70598280303221572</v>
      </c>
      <c r="P27" s="87"/>
    </row>
    <row r="28" spans="1:25" s="86" customFormat="1" ht="10.5" customHeight="1" x14ac:dyDescent="0.45">
      <c r="A28" s="105"/>
      <c r="B28" s="105"/>
      <c r="C28" s="106"/>
      <c r="D28" s="106"/>
      <c r="E28" s="105"/>
      <c r="F28" s="105"/>
      <c r="G28" s="105"/>
      <c r="H28" s="106"/>
      <c r="I28" s="105"/>
      <c r="J28" s="105"/>
      <c r="K28" s="101"/>
      <c r="L28" s="84"/>
      <c r="M28" s="134"/>
      <c r="N28" s="132"/>
      <c r="O28" s="133"/>
      <c r="P28" s="87"/>
    </row>
    <row r="29" spans="1:25" s="86" customFormat="1" ht="20.25" customHeight="1" x14ac:dyDescent="0.45">
      <c r="A29" s="99" t="s">
        <v>98</v>
      </c>
      <c r="B29" s="101"/>
      <c r="C29" s="107"/>
      <c r="D29" s="107"/>
      <c r="E29" s="101"/>
      <c r="F29" s="101"/>
      <c r="G29" s="101"/>
      <c r="H29" s="107"/>
      <c r="I29" s="101"/>
      <c r="J29" s="101"/>
      <c r="K29" s="101"/>
      <c r="L29" s="84"/>
      <c r="M29" s="134"/>
      <c r="N29" s="132"/>
      <c r="O29" s="133"/>
      <c r="P29" s="87"/>
    </row>
    <row r="30" spans="1:25" s="86" customFormat="1" ht="58.15" thickBot="1" x14ac:dyDescent="0.5">
      <c r="A30" s="91" t="s">
        <v>2</v>
      </c>
      <c r="B30" s="90" t="s">
        <v>32</v>
      </c>
      <c r="C30" s="91" t="s">
        <v>101</v>
      </c>
      <c r="D30" s="92" t="s">
        <v>102</v>
      </c>
      <c r="E30" s="91" t="s">
        <v>103</v>
      </c>
      <c r="F30" s="93" t="s">
        <v>12</v>
      </c>
      <c r="G30" s="90" t="s">
        <v>104</v>
      </c>
      <c r="H30" s="91" t="s">
        <v>62</v>
      </c>
      <c r="I30" s="108" t="s">
        <v>63</v>
      </c>
      <c r="J30" s="94"/>
      <c r="K30" s="109"/>
      <c r="L30" s="101"/>
      <c r="M30" s="134"/>
      <c r="N30" s="132"/>
      <c r="O30" s="133"/>
      <c r="P30" s="110"/>
      <c r="Q30" s="111"/>
      <c r="R30" s="111"/>
      <c r="S30" s="112"/>
      <c r="T30" s="111"/>
      <c r="U30" s="111"/>
      <c r="V30" s="111"/>
      <c r="W30" s="111"/>
      <c r="X30" s="113"/>
      <c r="Y30" s="114"/>
    </row>
    <row r="31" spans="1:25" s="86" customFormat="1" ht="15" thickTop="1" thickBot="1" x14ac:dyDescent="0.5">
      <c r="A31" s="83" t="s">
        <v>39</v>
      </c>
      <c r="B31" s="115" t="s">
        <v>64</v>
      </c>
      <c r="C31" s="163" t="s">
        <v>65</v>
      </c>
      <c r="D31" s="164" t="s">
        <v>66</v>
      </c>
      <c r="E31" s="134">
        <v>248</v>
      </c>
      <c r="F31" s="134">
        <v>5</v>
      </c>
      <c r="G31" s="163" t="s">
        <v>42</v>
      </c>
      <c r="H31" s="165" t="s">
        <v>67</v>
      </c>
      <c r="I31" s="165">
        <f>VLOOKUP(C31,January2019,7,0)*(1+Incr2020)</f>
        <v>25.179401094788435</v>
      </c>
      <c r="J31" s="84"/>
      <c r="K31" s="84"/>
      <c r="L31" s="84"/>
      <c r="M31" s="134" t="s">
        <v>121</v>
      </c>
      <c r="N31" s="132"/>
      <c r="O31" s="133"/>
      <c r="P31" s="110"/>
      <c r="Q31" s="150" t="s">
        <v>122</v>
      </c>
      <c r="R31" s="150" t="s">
        <v>11</v>
      </c>
      <c r="S31" s="150" t="s">
        <v>123</v>
      </c>
      <c r="T31" s="150" t="s">
        <v>124</v>
      </c>
      <c r="U31" s="119"/>
      <c r="V31" s="117"/>
      <c r="W31" s="120"/>
      <c r="X31" s="120"/>
      <c r="Y31" s="119"/>
    </row>
    <row r="32" spans="1:25" s="86" customFormat="1" ht="14.65" thickTop="1" x14ac:dyDescent="0.45">
      <c r="A32" s="83"/>
      <c r="B32" s="115"/>
      <c r="C32" s="163" t="s">
        <v>62</v>
      </c>
      <c r="D32" s="164" t="s">
        <v>68</v>
      </c>
      <c r="E32" s="134"/>
      <c r="F32" s="134"/>
      <c r="G32" s="163" t="s">
        <v>42</v>
      </c>
      <c r="H32" s="165">
        <f>'January 1 2019'!H35*(1+Incr2020)</f>
        <v>1.7130215247775076</v>
      </c>
      <c r="I32" s="165">
        <f>I$31+H32</f>
        <v>26.892422619565941</v>
      </c>
      <c r="J32" s="84"/>
      <c r="K32" s="84"/>
      <c r="L32" s="84"/>
      <c r="M32" s="134" t="s">
        <v>125</v>
      </c>
      <c r="N32" s="132"/>
      <c r="O32" s="133"/>
      <c r="P32" s="110"/>
      <c r="Q32" s="156" t="s">
        <v>126</v>
      </c>
      <c r="R32" s="157">
        <v>40671</v>
      </c>
      <c r="S32" s="158" t="s">
        <v>127</v>
      </c>
      <c r="T32" s="159">
        <v>0.84</v>
      </c>
      <c r="U32" s="119"/>
      <c r="V32" s="117"/>
      <c r="W32" s="120"/>
      <c r="X32" s="120"/>
      <c r="Y32" s="119"/>
    </row>
    <row r="33" spans="1:24" s="86" customFormat="1" x14ac:dyDescent="0.45">
      <c r="A33" s="83"/>
      <c r="B33" s="115"/>
      <c r="C33" s="163" t="s">
        <v>62</v>
      </c>
      <c r="D33" s="164" t="s">
        <v>69</v>
      </c>
      <c r="E33" s="134"/>
      <c r="F33" s="134"/>
      <c r="G33" s="163" t="s">
        <v>42</v>
      </c>
      <c r="H33" s="165">
        <f>'January 1 2019'!H36*(1+Incr2020)</f>
        <v>6.3039192111812286</v>
      </c>
      <c r="I33" s="165">
        <f t="shared" ref="I33:I34" si="1">I$31+H33</f>
        <v>31.483320305969663</v>
      </c>
      <c r="J33" s="84"/>
      <c r="K33" s="84"/>
      <c r="L33" s="84"/>
      <c r="M33" s="134" t="s">
        <v>128</v>
      </c>
      <c r="N33" s="132"/>
      <c r="O33" s="133"/>
      <c r="P33" s="121"/>
      <c r="Q33" s="156" t="s">
        <v>129</v>
      </c>
      <c r="R33" s="157">
        <v>40671</v>
      </c>
      <c r="S33" s="158" t="s">
        <v>130</v>
      </c>
      <c r="T33" s="159">
        <v>1.679</v>
      </c>
      <c r="V33" s="123"/>
      <c r="W33" s="125"/>
      <c r="X33" s="125"/>
    </row>
    <row r="34" spans="1:24" s="86" customFormat="1" x14ac:dyDescent="0.45">
      <c r="A34" s="83"/>
      <c r="B34" s="115"/>
      <c r="C34" s="83" t="s">
        <v>62</v>
      </c>
      <c r="D34" s="85" t="s">
        <v>70</v>
      </c>
      <c r="E34" s="84"/>
      <c r="F34" s="84"/>
      <c r="G34" s="83" t="s">
        <v>42</v>
      </c>
      <c r="H34" s="96">
        <f>'January 1 2019'!H37*(1+Incr2020)</f>
        <v>15.669780426258875</v>
      </c>
      <c r="I34" s="96">
        <f t="shared" si="1"/>
        <v>40.849181521047313</v>
      </c>
      <c r="J34" s="84"/>
      <c r="K34" s="84"/>
      <c r="L34" s="84"/>
      <c r="M34" s="134"/>
      <c r="N34" s="132"/>
      <c r="O34" s="133"/>
      <c r="P34" s="121"/>
      <c r="Q34" s="152" t="s">
        <v>131</v>
      </c>
      <c r="R34" s="153">
        <v>40671</v>
      </c>
      <c r="S34" s="152" t="s">
        <v>132</v>
      </c>
      <c r="T34" s="155">
        <v>1.119</v>
      </c>
      <c r="V34" s="123"/>
      <c r="W34" s="125"/>
      <c r="X34" s="125"/>
    </row>
    <row r="35" spans="1:24" s="86" customFormat="1" x14ac:dyDescent="0.45">
      <c r="A35" s="84"/>
      <c r="C35" s="83"/>
      <c r="D35" s="126" t="s">
        <v>71</v>
      </c>
      <c r="E35" s="84"/>
      <c r="F35" s="84"/>
      <c r="G35" s="84"/>
      <c r="H35" s="84"/>
      <c r="I35" s="84"/>
      <c r="J35" s="84"/>
      <c r="K35" s="84"/>
      <c r="L35" s="84"/>
      <c r="M35" s="134"/>
      <c r="N35" s="132"/>
      <c r="O35" s="133"/>
      <c r="P35" s="87"/>
      <c r="Q35" s="152" t="s">
        <v>133</v>
      </c>
      <c r="R35" s="153">
        <v>40671</v>
      </c>
      <c r="S35" s="154" t="s">
        <v>134</v>
      </c>
      <c r="T35" s="155">
        <v>0.84</v>
      </c>
    </row>
    <row r="36" spans="1:24" s="86" customFormat="1" hidden="1" x14ac:dyDescent="0.45">
      <c r="A36" s="84"/>
      <c r="B36" s="84"/>
      <c r="C36" s="83" t="s">
        <v>62</v>
      </c>
      <c r="D36" s="85" t="s">
        <v>72</v>
      </c>
      <c r="E36" s="84"/>
      <c r="F36" s="84"/>
      <c r="G36" s="83" t="s">
        <v>73</v>
      </c>
      <c r="H36" s="96">
        <f>'January 1 2019'!H39*(1+Incr2020)</f>
        <v>7.4275431447946936</v>
      </c>
      <c r="I36" s="96">
        <f>I$31+H36</f>
        <v>32.606944239583129</v>
      </c>
      <c r="J36" s="84"/>
      <c r="K36" s="84"/>
      <c r="L36" s="84"/>
      <c r="M36" s="134"/>
      <c r="N36" s="132"/>
      <c r="O36" s="133"/>
      <c r="P36" s="87"/>
      <c r="Q36" s="160" t="s">
        <v>125</v>
      </c>
      <c r="R36" s="161">
        <v>40671</v>
      </c>
      <c r="S36" s="160" t="s">
        <v>135</v>
      </c>
      <c r="T36" s="162">
        <v>1.4850000000000001</v>
      </c>
      <c r="V36" s="123"/>
      <c r="W36" s="127"/>
      <c r="X36" s="125"/>
    </row>
    <row r="37" spans="1:24" s="86" customFormat="1" hidden="1" x14ac:dyDescent="0.45">
      <c r="A37" s="84"/>
      <c r="B37" s="84"/>
      <c r="C37" s="83"/>
      <c r="D37" s="85"/>
      <c r="E37" s="84"/>
      <c r="F37" s="84"/>
      <c r="G37" s="83"/>
      <c r="H37" s="96"/>
      <c r="I37" s="96"/>
      <c r="J37" s="84"/>
      <c r="K37" s="84"/>
      <c r="L37" s="84"/>
      <c r="M37" s="134"/>
      <c r="N37" s="132"/>
      <c r="O37" s="133"/>
      <c r="P37" s="87"/>
      <c r="Q37" s="160" t="s">
        <v>128</v>
      </c>
      <c r="R37" s="161">
        <v>40671</v>
      </c>
      <c r="S37" s="160" t="s">
        <v>136</v>
      </c>
      <c r="T37" s="162">
        <v>5.4649999999999999</v>
      </c>
      <c r="V37" s="123"/>
      <c r="W37" s="127"/>
      <c r="X37" s="125"/>
    </row>
    <row r="38" spans="1:24" s="86" customFormat="1" ht="29.25" customHeight="1" x14ac:dyDescent="0.45">
      <c r="A38" s="242" t="s">
        <v>137</v>
      </c>
      <c r="B38" s="242"/>
      <c r="C38" s="242"/>
      <c r="D38" s="242"/>
      <c r="E38" s="242"/>
      <c r="F38" s="242"/>
      <c r="G38" s="242"/>
      <c r="H38" s="242"/>
      <c r="I38" s="242"/>
      <c r="J38" s="242"/>
      <c r="K38" s="84"/>
      <c r="L38" s="84"/>
      <c r="M38" s="134"/>
      <c r="N38" s="132"/>
      <c r="O38" s="133"/>
      <c r="P38" s="87"/>
      <c r="Q38" t="s">
        <v>138</v>
      </c>
      <c r="R38" s="79">
        <v>41105</v>
      </c>
      <c r="S38" t="s">
        <v>139</v>
      </c>
      <c r="T38" s="151">
        <v>13.311999999999999</v>
      </c>
      <c r="V38" s="123"/>
      <c r="W38" s="127"/>
      <c r="X38" s="125"/>
    </row>
    <row r="39" spans="1:24" s="86" customFormat="1" ht="14.25" customHeight="1" x14ac:dyDescent="0.45">
      <c r="A39" s="128"/>
      <c r="B39" s="105"/>
      <c r="C39" s="106"/>
      <c r="D39" s="128"/>
      <c r="E39" s="105"/>
      <c r="F39" s="105"/>
      <c r="G39" s="106"/>
      <c r="H39" s="129"/>
      <c r="I39" s="129"/>
      <c r="J39" s="105"/>
      <c r="K39" s="84"/>
      <c r="L39" s="84"/>
      <c r="M39" s="134"/>
      <c r="N39" s="132"/>
      <c r="O39" s="133"/>
      <c r="P39" s="87"/>
      <c r="Q39" t="s">
        <v>140</v>
      </c>
      <c r="R39" s="79">
        <v>40671</v>
      </c>
      <c r="S39" t="s">
        <v>141</v>
      </c>
      <c r="T39" s="151">
        <v>10.542</v>
      </c>
      <c r="V39" s="123"/>
      <c r="W39" s="127"/>
      <c r="X39" s="125"/>
    </row>
    <row r="40" spans="1:24" s="86" customFormat="1" x14ac:dyDescent="0.45">
      <c r="A40" s="99"/>
      <c r="C40" s="84"/>
      <c r="D40" s="84"/>
      <c r="E40" s="84"/>
      <c r="F40" s="84"/>
      <c r="G40" s="84"/>
      <c r="H40" s="84"/>
      <c r="I40" s="84"/>
      <c r="J40" s="84"/>
      <c r="K40" s="84"/>
      <c r="L40" s="84"/>
      <c r="M40" s="134"/>
      <c r="N40" s="132"/>
      <c r="O40" s="133"/>
      <c r="P40" s="87"/>
      <c r="Q40" t="s">
        <v>142</v>
      </c>
      <c r="R40" s="79">
        <v>40671</v>
      </c>
      <c r="S40" t="s">
        <v>143</v>
      </c>
      <c r="T40" s="151">
        <v>13.584</v>
      </c>
    </row>
    <row r="41" spans="1:24" s="86" customFormat="1" ht="30" customHeight="1" x14ac:dyDescent="0.45">
      <c r="A41" s="242" t="s">
        <v>144</v>
      </c>
      <c r="B41" s="242"/>
      <c r="C41" s="242"/>
      <c r="D41" s="242"/>
      <c r="E41" s="242"/>
      <c r="F41" s="242"/>
      <c r="G41" s="242"/>
      <c r="H41" s="242"/>
      <c r="I41" s="242"/>
      <c r="J41" s="242"/>
      <c r="K41" s="84"/>
      <c r="L41" s="84"/>
      <c r="M41" s="134"/>
      <c r="N41" s="132"/>
      <c r="O41" s="133"/>
      <c r="P41" s="87"/>
    </row>
    <row r="42" spans="1:24" s="86" customFormat="1" x14ac:dyDescent="0.45">
      <c r="A42" s="84"/>
      <c r="C42" s="84"/>
      <c r="D42" s="84"/>
      <c r="E42" s="84"/>
      <c r="F42" s="84"/>
      <c r="G42" s="84"/>
      <c r="H42" s="84" t="e" cm="1">
        <f t="array" aca="1" ref="H42" ca="1">spellnumber(8)</f>
        <v>#NAME?</v>
      </c>
      <c r="I42" s="84"/>
      <c r="J42" s="84"/>
      <c r="K42" s="84"/>
      <c r="L42" s="84"/>
      <c r="M42" s="134"/>
      <c r="N42" s="132"/>
      <c r="O42" s="133"/>
      <c r="P42" s="87"/>
    </row>
    <row r="43" spans="1:24" s="86" customFormat="1" x14ac:dyDescent="0.45">
      <c r="A43" s="99" t="s">
        <v>93</v>
      </c>
      <c r="C43" s="84"/>
      <c r="D43" s="84"/>
      <c r="E43" s="84"/>
      <c r="F43" s="84"/>
      <c r="G43" s="84"/>
      <c r="H43" s="84"/>
      <c r="I43" s="84"/>
      <c r="J43" s="84"/>
      <c r="K43" s="84"/>
      <c r="L43" s="84"/>
      <c r="M43" s="134"/>
      <c r="N43" s="132"/>
      <c r="O43" s="133"/>
      <c r="P43" s="87"/>
    </row>
    <row r="44" spans="1:24" s="86" customFormat="1" ht="29.1" customHeight="1" x14ac:dyDescent="0.45">
      <c r="A44" s="242" t="s">
        <v>145</v>
      </c>
      <c r="B44" s="242"/>
      <c r="C44" s="242"/>
      <c r="D44" s="242"/>
      <c r="E44" s="242"/>
      <c r="F44" s="242"/>
      <c r="G44" s="242"/>
      <c r="H44" s="242"/>
      <c r="I44" s="242"/>
      <c r="J44" s="242"/>
      <c r="K44" s="84"/>
      <c r="L44" s="84"/>
      <c r="M44" s="134"/>
      <c r="N44" s="132"/>
      <c r="O44" s="133"/>
      <c r="P44" s="87"/>
    </row>
    <row r="45" spans="1:24" s="86" customFormat="1" x14ac:dyDescent="0.45">
      <c r="A45" s="84"/>
      <c r="C45" s="84"/>
      <c r="D45" s="84"/>
      <c r="E45" s="84"/>
      <c r="F45" s="84"/>
      <c r="G45" s="84"/>
      <c r="H45" s="84"/>
      <c r="I45" s="84"/>
      <c r="J45" s="84"/>
      <c r="K45" s="84"/>
      <c r="L45" s="84"/>
      <c r="M45" s="134"/>
      <c r="N45" s="132"/>
      <c r="O45" s="133"/>
      <c r="P45" s="87"/>
    </row>
    <row r="46" spans="1:24" s="86" customFormat="1" x14ac:dyDescent="0.45">
      <c r="A46" s="84"/>
      <c r="C46" s="84"/>
      <c r="D46" s="84"/>
      <c r="E46" s="84"/>
      <c r="F46" s="84"/>
      <c r="G46" s="84"/>
      <c r="H46" s="84"/>
      <c r="I46" s="84"/>
      <c r="J46" s="84"/>
      <c r="K46" s="84"/>
      <c r="L46" s="84"/>
      <c r="M46" s="134"/>
      <c r="N46" s="132"/>
      <c r="O46" s="133"/>
      <c r="P46" s="87"/>
    </row>
    <row r="47" spans="1:24" s="86" customFormat="1" x14ac:dyDescent="0.45">
      <c r="A47" s="84"/>
      <c r="C47" s="84"/>
      <c r="D47" s="84"/>
      <c r="E47" s="84"/>
      <c r="F47" s="84"/>
      <c r="G47" s="84"/>
      <c r="H47" s="84"/>
      <c r="I47" s="84"/>
      <c r="J47" s="84"/>
      <c r="K47" s="84"/>
      <c r="L47" s="84"/>
      <c r="M47" s="134"/>
      <c r="N47" s="132"/>
      <c r="O47" s="133"/>
      <c r="P47" s="87"/>
    </row>
    <row r="49" spans="1:16" s="86" customFormat="1" x14ac:dyDescent="0.45">
      <c r="A49" s="89"/>
      <c r="B49" s="101"/>
      <c r="C49" s="107"/>
      <c r="D49" s="107"/>
      <c r="E49" s="84"/>
      <c r="F49" s="84"/>
      <c r="G49" s="84"/>
      <c r="H49" s="84"/>
      <c r="I49" s="84"/>
      <c r="J49" s="84"/>
      <c r="K49" s="84"/>
      <c r="L49" s="84"/>
      <c r="M49" s="134"/>
      <c r="N49" s="132"/>
      <c r="O49" s="133"/>
      <c r="P49" s="87"/>
    </row>
    <row r="50" spans="1:16" s="86" customFormat="1" x14ac:dyDescent="0.45">
      <c r="A50" s="99"/>
      <c r="B50" s="83"/>
      <c r="C50" s="83"/>
      <c r="D50" s="84"/>
      <c r="E50" s="84"/>
      <c r="F50" s="84"/>
      <c r="G50" s="84"/>
      <c r="H50" s="84"/>
      <c r="I50" s="84"/>
      <c r="J50" s="84"/>
      <c r="K50" s="84"/>
      <c r="L50" s="84"/>
      <c r="M50" s="134"/>
      <c r="N50" s="132"/>
      <c r="O50" s="133"/>
      <c r="P50" s="87"/>
    </row>
  </sheetData>
  <mergeCells count="3">
    <mergeCell ref="A38:J38"/>
    <mergeCell ref="A41:J41"/>
    <mergeCell ref="A44:J44"/>
  </mergeCells>
  <pageMargins left="0.28999999999999998" right="0" top="0.34" bottom="0.25" header="0.19" footer="0.26"/>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F7CA5-4887-4267-A274-F9818D610665}">
  <sheetPr codeName="Sheet6"/>
  <dimension ref="A1:AB50"/>
  <sheetViews>
    <sheetView workbookViewId="0">
      <selection activeCell="H10" sqref="H10"/>
    </sheetView>
  </sheetViews>
  <sheetFormatPr defaultColWidth="5.59765625" defaultRowHeight="14.25" x14ac:dyDescent="0.45"/>
  <cols>
    <col min="1" max="1" width="5.59765625" style="84" customWidth="1"/>
    <col min="2" max="2" width="9.3984375" style="84" customWidth="1"/>
    <col min="3" max="3" width="9.86328125" style="84" customWidth="1"/>
    <col min="4" max="4" width="54.73046875" style="84" bestFit="1" customWidth="1"/>
    <col min="5" max="5" width="6.59765625" style="84" bestFit="1" customWidth="1"/>
    <col min="6" max="6" width="2.3984375" style="84" bestFit="1" customWidth="1"/>
    <col min="7" max="7" width="6.1328125" style="138" customWidth="1"/>
    <col min="8" max="8" width="9.265625" style="84" customWidth="1"/>
    <col min="9" max="9" width="10.73046875" style="84" bestFit="1" customWidth="1"/>
    <col min="10" max="10" width="8.86328125" style="84" customWidth="1"/>
    <col min="11" max="11" width="7.265625" style="84" customWidth="1"/>
    <col min="12" max="12" width="6.1328125" style="84" bestFit="1" customWidth="1"/>
    <col min="13" max="13" width="7.265625" style="84" bestFit="1" customWidth="1"/>
    <col min="14" max="14" width="8.73046875" style="134" bestFit="1" customWidth="1"/>
    <col min="15" max="15" width="21.3984375" style="133" bestFit="1" customWidth="1"/>
    <col min="16" max="16" width="7.59765625" style="133" bestFit="1" customWidth="1"/>
    <col min="17" max="17" width="5.59765625" style="86"/>
    <col min="18" max="18" width="14.86328125" style="87" customWidth="1"/>
    <col min="19" max="19" width="5.59765625" style="86"/>
    <col min="20" max="20" width="9" style="86" customWidth="1"/>
    <col min="21" max="21" width="34.86328125" style="86" bestFit="1" customWidth="1"/>
    <col min="22" max="24" width="5.59765625" style="86"/>
    <col min="25" max="25" width="8.265625" style="86" customWidth="1"/>
    <col min="26" max="26" width="9.3984375" style="86" customWidth="1"/>
    <col min="27" max="28" width="5.59765625" style="86"/>
    <col min="29" max="16384" width="5.59765625" style="84"/>
  </cols>
  <sheetData>
    <row r="1" spans="1:18" s="86" customFormat="1" ht="15.75" x14ac:dyDescent="0.5">
      <c r="A1" s="82" t="s">
        <v>26</v>
      </c>
      <c r="B1" s="83"/>
      <c r="C1" s="83"/>
      <c r="D1" s="84"/>
      <c r="E1" s="84"/>
      <c r="F1" s="84"/>
      <c r="G1" s="138"/>
      <c r="H1" s="85" t="s">
        <v>27</v>
      </c>
      <c r="I1" s="83"/>
      <c r="J1" s="84"/>
      <c r="K1" s="84"/>
      <c r="L1" s="84"/>
      <c r="N1" s="131">
        <v>2.5000000000000001E-2</v>
      </c>
      <c r="O1" s="133"/>
      <c r="P1" s="133"/>
      <c r="R1" s="87"/>
    </row>
    <row r="2" spans="1:18" s="86" customFormat="1" x14ac:dyDescent="0.45">
      <c r="A2" s="88" t="s">
        <v>28</v>
      </c>
      <c r="B2" s="83"/>
      <c r="C2" s="83"/>
      <c r="D2" s="84"/>
      <c r="E2" s="84"/>
      <c r="F2" s="84"/>
      <c r="G2" s="138"/>
      <c r="H2" s="84"/>
      <c r="I2" s="83"/>
      <c r="J2" s="84"/>
      <c r="K2" s="84"/>
      <c r="L2" s="84"/>
      <c r="M2" s="84"/>
      <c r="N2" s="134"/>
      <c r="O2" s="133"/>
      <c r="P2" s="133"/>
      <c r="R2" s="87"/>
    </row>
    <row r="3" spans="1:18" s="86" customFormat="1" x14ac:dyDescent="0.45">
      <c r="A3" s="89" t="s">
        <v>146</v>
      </c>
      <c r="B3" s="83"/>
      <c r="C3" s="83"/>
      <c r="D3" s="84"/>
      <c r="E3" s="84"/>
      <c r="F3" s="84"/>
      <c r="G3" s="138"/>
      <c r="H3" s="84"/>
      <c r="I3" s="83"/>
      <c r="J3" s="84"/>
      <c r="K3" s="84"/>
      <c r="L3" s="84"/>
      <c r="M3" s="84"/>
      <c r="N3" s="134"/>
      <c r="O3" s="133"/>
      <c r="P3" s="133"/>
      <c r="R3" s="87"/>
    </row>
    <row r="4" spans="1:18" s="86" customFormat="1" ht="10.5" customHeight="1" x14ac:dyDescent="0.45">
      <c r="A4" s="88"/>
      <c r="B4" s="83"/>
      <c r="C4" s="83"/>
      <c r="D4" s="84"/>
      <c r="E4" s="84"/>
      <c r="F4" s="84"/>
      <c r="G4" s="138"/>
      <c r="H4" s="84"/>
      <c r="I4" s="83"/>
      <c r="J4" s="84"/>
      <c r="K4" s="84"/>
      <c r="L4" s="84"/>
      <c r="M4" s="84"/>
      <c r="N4" s="134"/>
      <c r="O4" s="133"/>
      <c r="P4" s="133"/>
      <c r="R4" s="87"/>
    </row>
    <row r="5" spans="1:18" s="86" customFormat="1" x14ac:dyDescent="0.45">
      <c r="A5" s="88" t="s">
        <v>30</v>
      </c>
      <c r="B5" s="83"/>
      <c r="C5" s="83"/>
      <c r="D5" s="84"/>
      <c r="E5" s="84"/>
      <c r="F5" s="84"/>
      <c r="G5" s="138"/>
      <c r="H5" s="84"/>
      <c r="I5" s="83"/>
      <c r="J5" s="84"/>
      <c r="K5" s="84"/>
      <c r="L5" s="84"/>
      <c r="M5" s="84"/>
      <c r="N5" s="134"/>
      <c r="O5" s="133"/>
      <c r="P5" s="133"/>
      <c r="R5" s="87"/>
    </row>
    <row r="6" spans="1:18" s="86" customFormat="1" ht="57.75" x14ac:dyDescent="0.45">
      <c r="A6" s="90" t="s">
        <v>31</v>
      </c>
      <c r="B6" s="91" t="s">
        <v>101</v>
      </c>
      <c r="C6" s="92" t="s">
        <v>102</v>
      </c>
      <c r="D6" s="91" t="s">
        <v>103</v>
      </c>
      <c r="E6" s="93" t="s">
        <v>12</v>
      </c>
      <c r="F6" s="139" t="s">
        <v>6</v>
      </c>
      <c r="G6" s="90" t="s">
        <v>104</v>
      </c>
      <c r="H6" s="90" t="s">
        <v>105</v>
      </c>
      <c r="I6" s="94"/>
      <c r="J6" s="94"/>
      <c r="K6" s="84"/>
      <c r="L6" s="84"/>
      <c r="M6" s="84"/>
      <c r="N6" s="134" t="s">
        <v>3</v>
      </c>
      <c r="O6" s="133" t="s">
        <v>6</v>
      </c>
      <c r="P6" s="133" t="s">
        <v>147</v>
      </c>
      <c r="R6" s="87"/>
    </row>
    <row r="7" spans="1:18" s="86" customFormat="1" x14ac:dyDescent="0.45">
      <c r="A7" s="83" t="s">
        <v>39</v>
      </c>
      <c r="B7" s="83" t="s">
        <v>19</v>
      </c>
      <c r="C7" s="84" t="s">
        <v>41</v>
      </c>
      <c r="D7" s="84">
        <v>293</v>
      </c>
      <c r="E7" s="83">
        <v>6</v>
      </c>
      <c r="F7" s="95" t="s">
        <v>22</v>
      </c>
      <c r="G7" s="83" t="s">
        <v>42</v>
      </c>
      <c r="H7" s="96">
        <f>VLOOKUP(B7,January2020,6,0)*(1+Incr2021)</f>
        <v>32.753809924777997</v>
      </c>
      <c r="I7" s="84"/>
      <c r="J7" s="84"/>
      <c r="K7" s="84"/>
      <c r="L7" s="84"/>
      <c r="M7" s="84"/>
      <c r="N7" s="134" t="str">
        <f>B7</f>
        <v>08310C</v>
      </c>
      <c r="O7" s="146" t="s">
        <v>40</v>
      </c>
      <c r="P7" s="135">
        <f>H7</f>
        <v>32.753809924777997</v>
      </c>
      <c r="R7" s="87"/>
    </row>
    <row r="8" spans="1:18" s="86" customFormat="1" x14ac:dyDescent="0.45">
      <c r="A8" s="83" t="s">
        <v>39</v>
      </c>
      <c r="B8" s="83" t="s">
        <v>23</v>
      </c>
      <c r="C8" s="84" t="s">
        <v>44</v>
      </c>
      <c r="D8" s="84">
        <v>323</v>
      </c>
      <c r="E8" s="83">
        <v>7</v>
      </c>
      <c r="F8" s="95" t="s">
        <v>25</v>
      </c>
      <c r="G8" s="83" t="s">
        <v>42</v>
      </c>
      <c r="H8" s="96">
        <f>VLOOKUP(B8,January2020,6,0)*(1+Incr2021)</f>
        <v>36.468159503876528</v>
      </c>
      <c r="I8" s="84"/>
      <c r="J8" s="84"/>
      <c r="K8" s="84"/>
      <c r="L8" s="84"/>
      <c r="M8" s="84"/>
      <c r="N8" s="134" t="str">
        <f>B8</f>
        <v>08311C</v>
      </c>
      <c r="O8" s="146" t="s">
        <v>148</v>
      </c>
      <c r="P8" s="135">
        <f>H8</f>
        <v>36.468159503876528</v>
      </c>
      <c r="R8" s="87"/>
    </row>
    <row r="9" spans="1:18" s="86" customFormat="1" ht="9" customHeight="1" x14ac:dyDescent="0.45">
      <c r="A9" s="84"/>
      <c r="B9" s="84"/>
      <c r="C9" s="84"/>
      <c r="D9" s="84"/>
      <c r="E9" s="84"/>
      <c r="F9" s="83"/>
      <c r="G9" s="95"/>
      <c r="H9" s="83"/>
      <c r="I9" s="96"/>
      <c r="J9" s="84"/>
      <c r="K9" s="84"/>
      <c r="L9" s="84"/>
      <c r="M9" s="84"/>
      <c r="N9" s="134"/>
      <c r="O9" s="133"/>
      <c r="P9" s="133"/>
      <c r="R9" s="87"/>
    </row>
    <row r="10" spans="1:18" s="86" customFormat="1" ht="12" customHeight="1" x14ac:dyDescent="0.45">
      <c r="A10" s="88" t="s">
        <v>45</v>
      </c>
      <c r="B10" s="88"/>
      <c r="C10" s="88"/>
      <c r="D10" s="85" t="s">
        <v>46</v>
      </c>
      <c r="E10" s="84"/>
      <c r="F10" s="83"/>
      <c r="G10" s="83" t="s">
        <v>42</v>
      </c>
      <c r="H10" s="96">
        <f>'2020'!H10*(1+Incr2021)</f>
        <v>12.718824943001396</v>
      </c>
      <c r="J10" s="84"/>
      <c r="K10" s="84"/>
      <c r="L10" s="84"/>
      <c r="M10" s="84"/>
      <c r="N10" s="130" t="s">
        <v>106</v>
      </c>
      <c r="O10" s="147" t="s">
        <v>107</v>
      </c>
      <c r="P10" s="135">
        <f>H10</f>
        <v>12.718824943001396</v>
      </c>
      <c r="R10" s="87"/>
    </row>
    <row r="11" spans="1:18" s="86" customFormat="1" ht="12" customHeight="1" x14ac:dyDescent="0.45">
      <c r="A11" s="83"/>
      <c r="B11" s="84"/>
      <c r="C11" s="83"/>
      <c r="D11" s="85" t="s">
        <v>47</v>
      </c>
      <c r="E11" s="84"/>
      <c r="F11" s="84"/>
      <c r="G11" s="138"/>
      <c r="H11" s="83"/>
      <c r="I11" s="97"/>
      <c r="J11" s="84"/>
      <c r="K11" s="84"/>
      <c r="L11" s="84"/>
      <c r="M11" s="84"/>
      <c r="N11" s="134"/>
      <c r="O11" s="133"/>
      <c r="P11" s="133"/>
      <c r="R11" s="98"/>
    </row>
    <row r="12" spans="1:18" s="86" customFormat="1" ht="8.25" customHeight="1" x14ac:dyDescent="0.45">
      <c r="A12" s="84"/>
      <c r="B12" s="84"/>
      <c r="C12" s="83"/>
      <c r="D12" s="84"/>
      <c r="E12" s="84"/>
      <c r="F12" s="84"/>
      <c r="G12" s="138"/>
      <c r="H12" s="84"/>
      <c r="I12" s="83" t="s">
        <v>48</v>
      </c>
      <c r="J12" s="84"/>
      <c r="K12" s="84"/>
      <c r="L12" s="84"/>
      <c r="M12" s="84"/>
      <c r="N12" s="134"/>
      <c r="O12" s="133"/>
      <c r="P12" s="133"/>
      <c r="R12" s="98"/>
    </row>
    <row r="13" spans="1:18" s="86" customFormat="1" ht="12" customHeight="1" x14ac:dyDescent="0.45">
      <c r="A13" s="99" t="s">
        <v>49</v>
      </c>
      <c r="B13" s="85"/>
      <c r="C13" s="83"/>
      <c r="D13" s="84"/>
      <c r="E13" s="84"/>
      <c r="F13" s="84"/>
      <c r="G13" s="138"/>
      <c r="H13" s="84"/>
      <c r="I13" s="83"/>
      <c r="J13" s="84"/>
      <c r="K13" s="84"/>
      <c r="L13" s="84"/>
      <c r="M13" s="84"/>
      <c r="N13" s="134"/>
      <c r="O13" s="133"/>
      <c r="P13" s="133"/>
      <c r="R13" s="98"/>
    </row>
    <row r="14" spans="1:18" s="86" customFormat="1" ht="12" customHeight="1" x14ac:dyDescent="0.45">
      <c r="A14" s="100" t="str">
        <f>"A "&amp;TEXT(P14,"$#.###")&amp;" per hour shift differential be paid for shifts that start between the hours of 5:00 p.m. and 4:00 a.m."</f>
        <v>A $2.027 per hour shift differential be paid for shifts that start between the hours of 5:00 p.m. and 4:00 a.m.</v>
      </c>
      <c r="B14" s="100"/>
      <c r="C14" s="100"/>
      <c r="D14" s="100"/>
      <c r="E14" s="100"/>
      <c r="F14" s="100"/>
      <c r="G14" s="140"/>
      <c r="H14" s="100"/>
      <c r="I14" s="100"/>
      <c r="J14" s="100"/>
      <c r="K14" s="100"/>
      <c r="L14" s="101"/>
      <c r="N14" s="130" t="s">
        <v>108</v>
      </c>
      <c r="O14" s="147" t="s">
        <v>109</v>
      </c>
      <c r="P14" s="137">
        <f>'2020'!O14*(1+Incr2021)</f>
        <v>2.0266556249999996</v>
      </c>
      <c r="R14" s="98">
        <f>1.891*1.02</f>
        <v>1.92882</v>
      </c>
    </row>
    <row r="15" spans="1:18" s="86" customFormat="1" ht="12" customHeight="1" x14ac:dyDescent="0.45">
      <c r="A15" s="84"/>
      <c r="B15" s="85"/>
      <c r="C15" s="96"/>
      <c r="D15" s="84"/>
      <c r="E15" s="84"/>
      <c r="F15" s="84"/>
      <c r="G15" s="138"/>
      <c r="H15" s="84"/>
      <c r="I15" s="83"/>
      <c r="J15" s="84"/>
      <c r="K15" s="84"/>
      <c r="L15" s="101"/>
      <c r="M15" s="102"/>
      <c r="N15" s="134"/>
      <c r="O15" s="133"/>
      <c r="P15" s="133"/>
      <c r="R15" s="98"/>
    </row>
    <row r="16" spans="1:18" s="86" customFormat="1" x14ac:dyDescent="0.45">
      <c r="A16" s="100" t="str">
        <f>"A "&amp;TEXT(P16,"$#.###")&amp;" per hour shift differential be paid for shifts that start between the hours of 5:00 a.m. and 6:00 a.m., "</f>
        <v xml:space="preserve">A $1.045 per hour shift differential be paid for shifts that start between the hours of 5:00 a.m. and 6:00 a.m., </v>
      </c>
      <c r="B16" s="100"/>
      <c r="C16" s="100"/>
      <c r="D16" s="100"/>
      <c r="E16" s="100"/>
      <c r="F16" s="100"/>
      <c r="G16" s="140"/>
      <c r="H16" s="100"/>
      <c r="I16" s="100"/>
      <c r="J16" s="100"/>
      <c r="K16" s="100"/>
      <c r="L16" s="101"/>
      <c r="N16" s="130" t="s">
        <v>110</v>
      </c>
      <c r="O16" s="147" t="s">
        <v>111</v>
      </c>
      <c r="P16" s="137">
        <f>'2020'!O16*(1+Incr2021)</f>
        <v>1.0453718749999998</v>
      </c>
      <c r="R16" s="98">
        <f>0.946*1.02</f>
        <v>0.96492</v>
      </c>
    </row>
    <row r="17" spans="1:27" s="103" customFormat="1" ht="15" customHeight="1" x14ac:dyDescent="0.45">
      <c r="A17" s="103" t="s">
        <v>112</v>
      </c>
      <c r="G17" s="141"/>
      <c r="N17" s="130" t="s">
        <v>113</v>
      </c>
      <c r="O17" s="147" t="s">
        <v>107</v>
      </c>
      <c r="P17" s="136">
        <f>P16</f>
        <v>1.0453718749999998</v>
      </c>
      <c r="R17" s="98"/>
    </row>
    <row r="18" spans="1:27" s="103" customFormat="1" ht="15" customHeight="1" x14ac:dyDescent="0.45">
      <c r="G18" s="141"/>
      <c r="N18" s="133"/>
      <c r="O18" s="133"/>
      <c r="P18" s="133"/>
      <c r="R18" s="98"/>
    </row>
    <row r="19" spans="1:27" s="86" customFormat="1" ht="12" customHeight="1" x14ac:dyDescent="0.45">
      <c r="A19" s="99" t="s">
        <v>85</v>
      </c>
      <c r="B19" s="84"/>
      <c r="C19" s="96"/>
      <c r="D19" s="84"/>
      <c r="E19" s="84"/>
      <c r="F19" s="84"/>
      <c r="G19" s="138"/>
      <c r="H19" s="84"/>
      <c r="I19" s="83"/>
      <c r="J19" s="84"/>
      <c r="K19" s="84"/>
      <c r="L19" s="101"/>
      <c r="M19" s="84"/>
      <c r="N19" s="134"/>
      <c r="O19" s="133"/>
      <c r="P19" s="133"/>
      <c r="R19" s="98"/>
    </row>
    <row r="20" spans="1:27" s="86" customFormat="1" ht="18.75" customHeight="1" x14ac:dyDescent="0.45">
      <c r="A20" s="100" t="str">
        <f>"A "&amp;TEXT(P20,"$#.###")&amp;" per hour premium be paid for each hour worked as an employer-designated Lead Worker."</f>
        <v>A $1.351 per hour premium be paid for each hour worked as an employer-designated Lead Worker.</v>
      </c>
      <c r="B20" s="100"/>
      <c r="C20" s="100"/>
      <c r="D20" s="100"/>
      <c r="E20" s="100"/>
      <c r="F20" s="100"/>
      <c r="G20" s="140"/>
      <c r="H20" s="100"/>
      <c r="I20" s="100"/>
      <c r="J20" s="100"/>
      <c r="K20" s="100"/>
      <c r="L20" s="101"/>
      <c r="N20" s="130" t="s">
        <v>114</v>
      </c>
      <c r="O20" s="147" t="s">
        <v>115</v>
      </c>
      <c r="P20" s="137">
        <f>'2020'!O20*(1+Incr2021)</f>
        <v>1.3511037499999998</v>
      </c>
      <c r="R20" s="98">
        <f>1.261*1.02</f>
        <v>1.2862199999999999</v>
      </c>
    </row>
    <row r="21" spans="1:27" s="86" customFormat="1" ht="12" customHeight="1" x14ac:dyDescent="0.45">
      <c r="A21" s="85"/>
      <c r="B21" s="85"/>
      <c r="C21" s="96"/>
      <c r="D21" s="84"/>
      <c r="E21" s="84"/>
      <c r="F21" s="84"/>
      <c r="G21" s="138"/>
      <c r="H21" s="84"/>
      <c r="I21" s="83"/>
      <c r="J21" s="84"/>
      <c r="K21" s="84"/>
      <c r="L21" s="101"/>
      <c r="M21" s="84"/>
      <c r="N21" s="134"/>
      <c r="O21" s="133"/>
      <c r="P21" s="133"/>
      <c r="R21" s="87"/>
    </row>
    <row r="22" spans="1:27" s="86" customFormat="1" ht="17.25" customHeight="1" x14ac:dyDescent="0.45">
      <c r="A22" s="104" t="s">
        <v>55</v>
      </c>
      <c r="B22" s="104"/>
      <c r="C22" s="104"/>
      <c r="D22" s="104"/>
      <c r="E22" s="104"/>
      <c r="F22" s="104"/>
      <c r="G22" s="142"/>
      <c r="H22" s="104"/>
      <c r="I22" s="104"/>
      <c r="J22" s="104"/>
      <c r="K22" s="104"/>
      <c r="L22" s="101"/>
      <c r="M22" s="84"/>
      <c r="N22" s="134"/>
      <c r="O22" s="133"/>
      <c r="P22" s="133"/>
      <c r="R22" s="87"/>
    </row>
    <row r="23" spans="1:27" s="86" customFormat="1" ht="16.5" customHeight="1" x14ac:dyDescent="0.45">
      <c r="A23" s="100" t="s">
        <v>56</v>
      </c>
      <c r="B23" s="100"/>
      <c r="C23" s="100"/>
      <c r="D23" s="100"/>
      <c r="E23" s="100"/>
      <c r="F23" s="100"/>
      <c r="G23" s="140"/>
      <c r="H23" s="100"/>
      <c r="I23" s="100"/>
      <c r="J23" s="100"/>
      <c r="K23" s="100"/>
      <c r="L23" s="101"/>
      <c r="M23" s="84"/>
      <c r="N23" s="134" t="s">
        <v>116</v>
      </c>
      <c r="O23" s="133"/>
      <c r="P23" s="133" t="s">
        <v>147</v>
      </c>
      <c r="R23" s="87"/>
    </row>
    <row r="24" spans="1:27" s="86" customFormat="1" ht="16.5" customHeight="1" x14ac:dyDescent="0.45">
      <c r="A24" s="84"/>
      <c r="B24" s="96">
        <f>'2020'!B24*(1+Incr2021)</f>
        <v>0.15310503614430795</v>
      </c>
      <c r="C24" s="85" t="s">
        <v>57</v>
      </c>
      <c r="D24" s="85"/>
      <c r="E24" s="85"/>
      <c r="F24" s="85"/>
      <c r="G24" s="143"/>
      <c r="H24" s="85"/>
      <c r="I24" s="85"/>
      <c r="J24" s="85"/>
      <c r="K24" s="85"/>
      <c r="L24" s="101"/>
      <c r="M24" s="84"/>
      <c r="N24" s="134" t="s">
        <v>117</v>
      </c>
      <c r="O24" s="133"/>
      <c r="P24" s="135">
        <f>B24</f>
        <v>0.15310503614430795</v>
      </c>
      <c r="R24" s="87"/>
    </row>
    <row r="25" spans="1:27" s="86" customFormat="1" ht="16.5" customHeight="1" x14ac:dyDescent="0.45">
      <c r="A25" s="84"/>
      <c r="B25" s="96">
        <f>'2020'!B25*(1+Incr2021)</f>
        <v>0.34140716213725752</v>
      </c>
      <c r="C25" s="100" t="s">
        <v>58</v>
      </c>
      <c r="D25" s="100"/>
      <c r="E25" s="100"/>
      <c r="F25" s="100"/>
      <c r="G25" s="140"/>
      <c r="H25" s="100"/>
      <c r="I25" s="100"/>
      <c r="J25" s="100"/>
      <c r="K25" s="100"/>
      <c r="L25" s="101"/>
      <c r="M25" s="84"/>
      <c r="N25" s="134" t="s">
        <v>118</v>
      </c>
      <c r="O25" s="133"/>
      <c r="P25" s="135">
        <f t="shared" ref="P25:P27" si="0">B25</f>
        <v>0.34140716213725752</v>
      </c>
      <c r="R25" s="87"/>
    </row>
    <row r="26" spans="1:27" s="86" customFormat="1" ht="16.5" customHeight="1" x14ac:dyDescent="0.45">
      <c r="A26" s="84"/>
      <c r="B26" s="96">
        <f>'2020'!B26*(1+Incr2021)</f>
        <v>0.41588486868670804</v>
      </c>
      <c r="C26" s="100" t="s">
        <v>59</v>
      </c>
      <c r="D26" s="100"/>
      <c r="E26" s="100"/>
      <c r="F26" s="100"/>
      <c r="G26" s="140"/>
      <c r="H26" s="100"/>
      <c r="I26" s="100"/>
      <c r="J26" s="100"/>
      <c r="K26" s="100"/>
      <c r="L26" s="101"/>
      <c r="M26" s="84"/>
      <c r="N26" s="134" t="s">
        <v>119</v>
      </c>
      <c r="O26" s="133"/>
      <c r="P26" s="135">
        <f t="shared" si="0"/>
        <v>0.41588486868670804</v>
      </c>
      <c r="R26" s="87"/>
    </row>
    <row r="27" spans="1:27" s="86" customFormat="1" ht="16.5" customHeight="1" x14ac:dyDescent="0.45">
      <c r="A27" s="84"/>
      <c r="B27" s="96">
        <f>'2020'!B27*(1+Incr2021)</f>
        <v>0.72363237310802109</v>
      </c>
      <c r="C27" s="100" t="s">
        <v>60</v>
      </c>
      <c r="D27" s="100"/>
      <c r="E27" s="100"/>
      <c r="F27" s="100"/>
      <c r="G27" s="140"/>
      <c r="H27" s="100"/>
      <c r="I27" s="100"/>
      <c r="J27" s="100"/>
      <c r="K27" s="100"/>
      <c r="L27" s="101"/>
      <c r="M27" s="84"/>
      <c r="N27" s="134" t="s">
        <v>120</v>
      </c>
      <c r="O27" s="133"/>
      <c r="P27" s="135">
        <f t="shared" si="0"/>
        <v>0.72363237310802109</v>
      </c>
      <c r="R27" s="87"/>
    </row>
    <row r="28" spans="1:27" s="86" customFormat="1" ht="10.5" customHeight="1" x14ac:dyDescent="0.45">
      <c r="A28" s="105"/>
      <c r="B28" s="105"/>
      <c r="C28" s="106"/>
      <c r="D28" s="106"/>
      <c r="E28" s="105"/>
      <c r="F28" s="105"/>
      <c r="G28" s="144"/>
      <c r="H28" s="105"/>
      <c r="I28" s="106"/>
      <c r="J28" s="105"/>
      <c r="K28" s="101"/>
      <c r="L28" s="101"/>
      <c r="M28" s="84"/>
      <c r="N28" s="134"/>
      <c r="O28" s="133"/>
      <c r="P28" s="133"/>
      <c r="R28" s="87"/>
    </row>
    <row r="29" spans="1:27" s="86" customFormat="1" ht="20.25" customHeight="1" x14ac:dyDescent="0.45">
      <c r="A29" s="99" t="s">
        <v>98</v>
      </c>
      <c r="B29" s="101"/>
      <c r="C29" s="107"/>
      <c r="D29" s="107"/>
      <c r="E29" s="101"/>
      <c r="F29" s="101"/>
      <c r="G29" s="145"/>
      <c r="H29" s="101"/>
      <c r="I29" s="107"/>
      <c r="J29" s="101"/>
      <c r="K29" s="101"/>
      <c r="L29" s="101"/>
      <c r="M29" s="84"/>
      <c r="N29" s="134"/>
      <c r="O29" s="133"/>
      <c r="P29" s="133"/>
      <c r="R29" s="87"/>
    </row>
    <row r="30" spans="1:27" s="86" customFormat="1" ht="57.75" x14ac:dyDescent="0.45">
      <c r="A30" s="91" t="s">
        <v>2</v>
      </c>
      <c r="B30" s="91" t="s">
        <v>101</v>
      </c>
      <c r="C30" s="92" t="s">
        <v>102</v>
      </c>
      <c r="D30" s="91" t="s">
        <v>103</v>
      </c>
      <c r="E30" s="93" t="s">
        <v>12</v>
      </c>
      <c r="F30" s="139" t="s">
        <v>6</v>
      </c>
      <c r="G30" s="90" t="s">
        <v>104</v>
      </c>
      <c r="H30" s="91" t="s">
        <v>62</v>
      </c>
      <c r="I30" s="108" t="s">
        <v>63</v>
      </c>
      <c r="J30" s="94"/>
      <c r="K30" s="109"/>
      <c r="L30" s="101"/>
      <c r="M30" s="101"/>
      <c r="N30" s="134" t="s">
        <v>3</v>
      </c>
      <c r="O30" s="133" t="s">
        <v>6</v>
      </c>
      <c r="P30" s="133" t="s">
        <v>147</v>
      </c>
      <c r="R30" s="110"/>
      <c r="S30" s="111"/>
      <c r="T30" s="111"/>
      <c r="U30" s="112"/>
      <c r="V30" s="111"/>
      <c r="W30" s="111"/>
      <c r="X30" s="111"/>
      <c r="Y30" s="111"/>
      <c r="Z30" s="113"/>
      <c r="AA30" s="114"/>
    </row>
    <row r="31" spans="1:27" s="86" customFormat="1" ht="15" customHeight="1" x14ac:dyDescent="0.45">
      <c r="A31" s="83" t="s">
        <v>39</v>
      </c>
      <c r="B31" s="83" t="s">
        <v>65</v>
      </c>
      <c r="C31" s="85" t="s">
        <v>66</v>
      </c>
      <c r="D31" s="84">
        <v>248</v>
      </c>
      <c r="E31" s="84">
        <v>5</v>
      </c>
      <c r="F31" s="138" t="s">
        <v>22</v>
      </c>
      <c r="G31" s="83" t="s">
        <v>42</v>
      </c>
      <c r="H31" s="96" t="s">
        <v>67</v>
      </c>
      <c r="I31" s="96">
        <f>VLOOKUP(B31,January2020,7,0)*(1+Incr2021)</f>
        <v>25.808886122158142</v>
      </c>
      <c r="J31" s="84"/>
      <c r="K31" s="84"/>
      <c r="L31" s="84"/>
      <c r="M31" s="84"/>
      <c r="N31" s="133" t="str">
        <f>B31</f>
        <v>09300C</v>
      </c>
      <c r="O31" s="148" t="str">
        <f>F31</f>
        <v>01</v>
      </c>
      <c r="P31" s="149">
        <f>I31</f>
        <v>25.808886122158142</v>
      </c>
      <c r="R31" s="110"/>
      <c r="S31" s="116"/>
      <c r="T31" s="117"/>
      <c r="U31" s="118"/>
      <c r="V31" s="119"/>
      <c r="W31" s="119"/>
      <c r="X31" s="117"/>
      <c r="Y31" s="120"/>
      <c r="Z31" s="120"/>
      <c r="AA31" s="119"/>
    </row>
    <row r="32" spans="1:27" s="86" customFormat="1" ht="15" customHeight="1" x14ac:dyDescent="0.45">
      <c r="A32" s="83"/>
      <c r="B32" s="83" t="s">
        <v>62</v>
      </c>
      <c r="C32" s="85" t="s">
        <v>68</v>
      </c>
      <c r="D32" s="84"/>
      <c r="E32" s="84"/>
      <c r="F32" s="138"/>
      <c r="G32" s="83" t="s">
        <v>42</v>
      </c>
      <c r="H32" s="96">
        <f>'2020'!H32*(1+Incr2021)</f>
        <v>1.7558470628969451</v>
      </c>
      <c r="I32" s="96">
        <f>I$31+H32</f>
        <v>27.564733185055086</v>
      </c>
      <c r="J32" s="84"/>
      <c r="K32" s="84"/>
      <c r="L32" s="84"/>
      <c r="M32" s="84"/>
      <c r="N32" s="166" t="s">
        <v>149</v>
      </c>
      <c r="O32" s="166"/>
      <c r="P32" s="149">
        <f>I32</f>
        <v>27.564733185055086</v>
      </c>
      <c r="R32" s="110"/>
      <c r="S32" s="116"/>
      <c r="T32" s="117"/>
      <c r="U32" s="118"/>
      <c r="V32" s="119"/>
      <c r="W32" s="119"/>
      <c r="X32" s="117"/>
      <c r="Y32" s="120"/>
      <c r="Z32" s="120"/>
      <c r="AA32" s="119"/>
    </row>
    <row r="33" spans="1:26" s="86" customFormat="1" x14ac:dyDescent="0.45">
      <c r="A33" s="83"/>
      <c r="B33" s="83" t="s">
        <v>62</v>
      </c>
      <c r="C33" s="85" t="s">
        <v>69</v>
      </c>
      <c r="D33" s="84"/>
      <c r="E33" s="84"/>
      <c r="F33" s="138"/>
      <c r="G33" s="83" t="s">
        <v>42</v>
      </c>
      <c r="H33" s="96">
        <f>'2020'!H33*(1+Incr2021)</f>
        <v>6.461517191460759</v>
      </c>
      <c r="I33" s="96">
        <f t="shared" ref="I33:I34" si="1">I$31+H33</f>
        <v>32.2704033136189</v>
      </c>
      <c r="J33" s="84"/>
      <c r="K33" s="84"/>
      <c r="L33" s="84"/>
      <c r="M33" s="84"/>
      <c r="N33" s="166" t="s">
        <v>150</v>
      </c>
      <c r="O33" s="166"/>
      <c r="P33" s="149">
        <f t="shared" ref="P33:P34" si="2">I33</f>
        <v>32.2704033136189</v>
      </c>
      <c r="R33" s="121"/>
      <c r="S33" s="122"/>
      <c r="T33" s="123"/>
      <c r="U33" s="124"/>
      <c r="X33" s="123"/>
      <c r="Y33" s="125"/>
      <c r="Z33" s="125"/>
    </row>
    <row r="34" spans="1:26" s="86" customFormat="1" x14ac:dyDescent="0.45">
      <c r="A34" s="83"/>
      <c r="B34" s="83" t="s">
        <v>62</v>
      </c>
      <c r="C34" s="85" t="s">
        <v>70</v>
      </c>
      <c r="D34" s="84"/>
      <c r="E34" s="84"/>
      <c r="F34" s="138"/>
      <c r="G34" s="83" t="s">
        <v>42</v>
      </c>
      <c r="H34" s="96">
        <f>'2020'!H34*(1+Incr2021)</f>
        <v>16.061524936915344</v>
      </c>
      <c r="I34" s="96">
        <f t="shared" si="1"/>
        <v>41.87041105907349</v>
      </c>
      <c r="J34" s="84"/>
      <c r="K34" s="84"/>
      <c r="L34" s="84"/>
      <c r="M34" s="84"/>
      <c r="N34" s="134" t="s">
        <v>151</v>
      </c>
      <c r="O34" s="133"/>
      <c r="P34" s="149">
        <f t="shared" si="2"/>
        <v>41.87041105907349</v>
      </c>
      <c r="R34" s="121"/>
      <c r="S34" s="122"/>
      <c r="T34" s="123"/>
      <c r="U34" s="124"/>
      <c r="X34" s="123"/>
      <c r="Y34" s="125"/>
      <c r="Z34" s="125"/>
    </row>
    <row r="35" spans="1:26" s="86" customFormat="1" x14ac:dyDescent="0.45">
      <c r="A35" s="84"/>
      <c r="B35" s="83"/>
      <c r="C35" s="126" t="s">
        <v>71</v>
      </c>
      <c r="D35" s="84"/>
      <c r="E35" s="84"/>
      <c r="F35" s="138"/>
      <c r="G35" s="84"/>
      <c r="H35" s="84"/>
      <c r="I35" s="84"/>
      <c r="J35" s="84"/>
      <c r="K35" s="84"/>
      <c r="L35" s="84"/>
      <c r="M35" s="84"/>
      <c r="N35" s="134"/>
      <c r="O35" s="133"/>
      <c r="P35" s="133"/>
      <c r="R35" s="87"/>
      <c r="S35" s="124"/>
      <c r="T35" s="123"/>
    </row>
    <row r="36" spans="1:26" s="86" customFormat="1" x14ac:dyDescent="0.45">
      <c r="A36" s="84"/>
      <c r="B36" s="83" t="s">
        <v>62</v>
      </c>
      <c r="C36" s="85" t="s">
        <v>72</v>
      </c>
      <c r="D36" s="84"/>
      <c r="E36" s="84"/>
      <c r="F36" s="138"/>
      <c r="G36" s="83" t="s">
        <v>73</v>
      </c>
      <c r="H36" s="96">
        <f>'2020'!H36*(1+Incr2021)</f>
        <v>7.6132317234145601</v>
      </c>
      <c r="I36" s="96">
        <f>I$31+H36</f>
        <v>33.4221178455727</v>
      </c>
      <c r="J36" s="84"/>
      <c r="K36" s="84"/>
      <c r="L36" s="84"/>
      <c r="M36" s="84"/>
      <c r="N36" s="134" t="s">
        <v>152</v>
      </c>
      <c r="O36" s="133"/>
      <c r="P36" s="149">
        <f>I36</f>
        <v>33.4221178455727</v>
      </c>
      <c r="R36" s="87"/>
      <c r="T36" s="123"/>
      <c r="U36" s="124"/>
      <c r="X36" s="123"/>
      <c r="Y36" s="127"/>
      <c r="Z36" s="125"/>
    </row>
    <row r="37" spans="1:26" s="86" customFormat="1" x14ac:dyDescent="0.45">
      <c r="A37" s="84"/>
      <c r="B37" s="83"/>
      <c r="C37" s="85"/>
      <c r="D37" s="84"/>
      <c r="E37" s="84"/>
      <c r="F37" s="138"/>
      <c r="G37" s="83"/>
      <c r="H37" s="96"/>
      <c r="I37" s="96"/>
      <c r="J37" s="84"/>
      <c r="K37" s="84"/>
      <c r="L37" s="84"/>
      <c r="M37" s="84"/>
      <c r="N37" s="134"/>
      <c r="O37" s="133"/>
      <c r="P37" s="133"/>
      <c r="R37" s="87"/>
      <c r="T37" s="123"/>
      <c r="U37" s="124"/>
      <c r="X37" s="123"/>
      <c r="Y37" s="127"/>
      <c r="Z37" s="125"/>
    </row>
    <row r="38" spans="1:26" s="86" customFormat="1" ht="29.25" customHeight="1" x14ac:dyDescent="0.45">
      <c r="A38" s="242" t="s">
        <v>137</v>
      </c>
      <c r="B38" s="242"/>
      <c r="C38" s="242"/>
      <c r="D38" s="242"/>
      <c r="E38" s="242"/>
      <c r="F38" s="242"/>
      <c r="G38" s="242"/>
      <c r="H38" s="242"/>
      <c r="I38" s="242"/>
      <c r="J38" s="242"/>
      <c r="K38" s="242"/>
      <c r="L38" s="84"/>
      <c r="M38" s="84"/>
      <c r="N38" s="134"/>
      <c r="O38" s="133"/>
      <c r="P38" s="133"/>
      <c r="R38" s="87"/>
      <c r="T38" s="123"/>
      <c r="U38" s="124"/>
      <c r="X38" s="123"/>
      <c r="Y38" s="127"/>
      <c r="Z38" s="125"/>
    </row>
    <row r="39" spans="1:26" s="86" customFormat="1" ht="14.25" customHeight="1" x14ac:dyDescent="0.45">
      <c r="A39" s="128"/>
      <c r="B39" s="105"/>
      <c r="C39" s="106"/>
      <c r="D39" s="128"/>
      <c r="E39" s="105"/>
      <c r="F39" s="105"/>
      <c r="G39" s="144"/>
      <c r="H39" s="106"/>
      <c r="I39" s="129"/>
      <c r="J39" s="129"/>
      <c r="K39" s="105"/>
      <c r="L39" s="84"/>
      <c r="M39" s="84"/>
      <c r="N39" s="134"/>
      <c r="O39" s="133"/>
      <c r="P39" s="133"/>
      <c r="R39" s="87"/>
      <c r="T39" s="123"/>
      <c r="U39" s="124"/>
      <c r="X39" s="123"/>
      <c r="Y39" s="127"/>
      <c r="Z39" s="125"/>
    </row>
    <row r="40" spans="1:26" s="86" customFormat="1" x14ac:dyDescent="0.45">
      <c r="A40" s="99"/>
      <c r="C40" s="84"/>
      <c r="D40" s="84"/>
      <c r="E40" s="84"/>
      <c r="F40" s="84"/>
      <c r="G40" s="138"/>
      <c r="H40" s="84"/>
      <c r="I40" s="84"/>
      <c r="J40" s="84"/>
      <c r="K40" s="84"/>
      <c r="L40" s="84"/>
      <c r="M40" s="84"/>
      <c r="N40" s="134"/>
      <c r="O40" s="133"/>
      <c r="P40" s="133"/>
      <c r="R40" s="87"/>
    </row>
    <row r="41" spans="1:26" s="86" customFormat="1" ht="27.95" customHeight="1" x14ac:dyDescent="0.45">
      <c r="A41" s="242" t="s">
        <v>144</v>
      </c>
      <c r="B41" s="242"/>
      <c r="C41" s="242"/>
      <c r="D41" s="242"/>
      <c r="E41" s="242"/>
      <c r="F41" s="242"/>
      <c r="G41" s="242"/>
      <c r="H41" s="242"/>
      <c r="I41" s="242"/>
      <c r="J41" s="242"/>
      <c r="K41" s="242"/>
      <c r="L41" s="84"/>
      <c r="M41" s="84"/>
      <c r="N41" s="134"/>
      <c r="O41" s="133"/>
      <c r="P41" s="133"/>
      <c r="R41" s="87"/>
    </row>
    <row r="42" spans="1:26" s="86" customFormat="1" x14ac:dyDescent="0.45">
      <c r="A42" s="84"/>
      <c r="C42" s="84"/>
      <c r="D42" s="84"/>
      <c r="E42" s="84"/>
      <c r="F42" s="84"/>
      <c r="G42" s="138"/>
      <c r="H42" s="84"/>
      <c r="I42" s="84"/>
      <c r="J42" s="84"/>
      <c r="K42" s="84"/>
      <c r="L42" s="84"/>
      <c r="M42" s="84"/>
      <c r="N42" s="134"/>
      <c r="O42" s="133"/>
      <c r="P42" s="133"/>
      <c r="R42" s="87"/>
    </row>
    <row r="43" spans="1:26" s="86" customFormat="1" x14ac:dyDescent="0.45">
      <c r="A43" s="99" t="s">
        <v>93</v>
      </c>
      <c r="C43" s="84"/>
      <c r="D43" s="84"/>
      <c r="E43" s="84"/>
      <c r="F43" s="84"/>
      <c r="G43" s="138"/>
      <c r="H43" s="84"/>
      <c r="I43" s="84"/>
      <c r="J43" s="84"/>
      <c r="K43" s="84"/>
      <c r="L43" s="84"/>
      <c r="M43" s="84"/>
      <c r="N43" s="134"/>
      <c r="O43" s="133"/>
      <c r="P43" s="133"/>
      <c r="R43" s="87"/>
    </row>
    <row r="44" spans="1:26" s="86" customFormat="1" ht="27.95" customHeight="1" x14ac:dyDescent="0.45">
      <c r="A44" s="242" t="s">
        <v>145</v>
      </c>
      <c r="B44" s="242"/>
      <c r="C44" s="242"/>
      <c r="D44" s="242"/>
      <c r="E44" s="242"/>
      <c r="F44" s="242"/>
      <c r="G44" s="242"/>
      <c r="H44" s="242"/>
      <c r="I44" s="242"/>
      <c r="J44" s="242"/>
      <c r="K44" s="242"/>
      <c r="L44" s="84"/>
      <c r="M44" s="84"/>
      <c r="N44" s="134"/>
      <c r="O44" s="133"/>
      <c r="P44" s="133"/>
      <c r="R44" s="87"/>
    </row>
    <row r="45" spans="1:26" s="86" customFormat="1" x14ac:dyDescent="0.45">
      <c r="A45" s="84"/>
      <c r="C45" s="84"/>
      <c r="D45" s="84"/>
      <c r="E45" s="84"/>
      <c r="F45" s="84"/>
      <c r="G45" s="138"/>
      <c r="H45" s="84"/>
      <c r="I45" s="84"/>
      <c r="J45" s="84"/>
      <c r="K45" s="84"/>
      <c r="L45" s="84"/>
      <c r="M45" s="84"/>
      <c r="N45" s="134"/>
      <c r="O45" s="133"/>
      <c r="P45" s="133"/>
      <c r="R45" s="87"/>
    </row>
    <row r="46" spans="1:26" s="86" customFormat="1" x14ac:dyDescent="0.45">
      <c r="A46" s="84"/>
      <c r="C46" s="84"/>
      <c r="D46" s="84"/>
      <c r="E46" s="84"/>
      <c r="F46" s="84"/>
      <c r="G46" s="138"/>
      <c r="H46" s="84"/>
      <c r="I46" s="84"/>
      <c r="J46" s="84"/>
      <c r="K46" s="84"/>
      <c r="L46" s="84"/>
      <c r="M46" s="84"/>
      <c r="N46" s="134"/>
      <c r="O46" s="133"/>
      <c r="P46" s="133"/>
      <c r="R46" s="87"/>
    </row>
    <row r="47" spans="1:26" s="86" customFormat="1" x14ac:dyDescent="0.45">
      <c r="A47" s="84"/>
      <c r="C47" s="84"/>
      <c r="D47" s="84"/>
      <c r="E47" s="84"/>
      <c r="F47" s="84"/>
      <c r="G47" s="138"/>
      <c r="H47" s="84"/>
      <c r="I47" s="84"/>
      <c r="J47" s="84"/>
      <c r="K47" s="84"/>
      <c r="L47" s="84"/>
      <c r="M47" s="84"/>
      <c r="N47" s="134"/>
      <c r="O47" s="133"/>
      <c r="P47" s="133"/>
      <c r="R47" s="87"/>
    </row>
    <row r="49" spans="1:18" s="86" customFormat="1" x14ac:dyDescent="0.45">
      <c r="A49" s="89"/>
      <c r="B49" s="101"/>
      <c r="C49" s="107"/>
      <c r="D49" s="107"/>
      <c r="E49" s="84"/>
      <c r="F49" s="84"/>
      <c r="G49" s="138"/>
      <c r="H49" s="84"/>
      <c r="I49" s="84"/>
      <c r="J49" s="84"/>
      <c r="K49" s="84"/>
      <c r="L49" s="84"/>
      <c r="M49" s="84"/>
      <c r="N49" s="134"/>
      <c r="O49" s="133"/>
      <c r="P49" s="133"/>
      <c r="R49" s="87"/>
    </row>
    <row r="50" spans="1:18" s="86" customFormat="1" x14ac:dyDescent="0.45">
      <c r="A50" s="99"/>
      <c r="B50" s="83"/>
      <c r="C50" s="83"/>
      <c r="D50" s="84"/>
      <c r="E50" s="84"/>
      <c r="F50" s="84"/>
      <c r="G50" s="138"/>
      <c r="H50" s="84"/>
      <c r="I50" s="84"/>
      <c r="J50" s="84"/>
      <c r="K50" s="84"/>
      <c r="L50" s="84"/>
      <c r="M50" s="84"/>
      <c r="N50" s="134"/>
      <c r="O50" s="133"/>
      <c r="P50" s="133"/>
      <c r="R50" s="87"/>
    </row>
  </sheetData>
  <mergeCells count="3">
    <mergeCell ref="A38:K38"/>
    <mergeCell ref="A41:K41"/>
    <mergeCell ref="A44:K44"/>
  </mergeCells>
  <pageMargins left="0.28999999999999998" right="0" top="0.34" bottom="0.25" header="0.19" footer="0.26"/>
  <pageSetup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D7134-D41C-4D54-8347-BCC3EAB72C06}">
  <sheetPr codeName="Sheet7">
    <tabColor theme="1"/>
  </sheetPr>
  <dimension ref="A1:X50"/>
  <sheetViews>
    <sheetView showGridLines="0" topLeftCell="A19" workbookViewId="0">
      <selection activeCell="P39" sqref="P39"/>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bestFit="1" customWidth="1"/>
    <col min="13" max="13" width="5.59765625" style="84"/>
    <col min="14" max="14" width="13.265625" style="134" bestFit="1" customWidth="1"/>
    <col min="15" max="15" width="27.3984375" style="133" bestFit="1" customWidth="1"/>
    <col min="16" max="16" width="15.86328125" style="175" customWidth="1"/>
    <col min="17" max="17" width="34.86328125" style="103" bestFit="1" customWidth="1"/>
    <col min="18" max="20" width="5.59765625" style="86"/>
    <col min="21" max="21" width="8.265625" style="86" customWidth="1"/>
    <col min="22" max="22" width="9.3984375" style="86" customWidth="1"/>
    <col min="23" max="24" width="5.59765625" style="86"/>
    <col min="25" max="16384" width="5.59765625" style="84"/>
  </cols>
  <sheetData>
    <row r="1" spans="1:17" s="86" customFormat="1" ht="15.75" x14ac:dyDescent="0.5">
      <c r="A1" s="82" t="s">
        <v>26</v>
      </c>
      <c r="B1" s="83"/>
      <c r="C1" s="83"/>
      <c r="D1" s="84"/>
      <c r="E1" s="84"/>
      <c r="F1" s="84"/>
      <c r="G1" s="85" t="s">
        <v>27</v>
      </c>
      <c r="H1" s="83"/>
      <c r="I1" s="84"/>
      <c r="J1" s="84"/>
      <c r="K1" s="84"/>
      <c r="M1" s="84"/>
      <c r="N1" s="133" t="s">
        <v>153</v>
      </c>
      <c r="O1" s="167">
        <v>1.0249999999999999</v>
      </c>
      <c r="P1" s="175"/>
      <c r="Q1" s="103"/>
    </row>
    <row r="2" spans="1:17" s="86" customFormat="1" x14ac:dyDescent="0.45">
      <c r="A2" s="88" t="s">
        <v>28</v>
      </c>
      <c r="B2" s="83"/>
      <c r="C2" s="83"/>
      <c r="D2" s="84"/>
      <c r="E2" s="84"/>
      <c r="F2" s="84"/>
      <c r="G2" s="84"/>
      <c r="H2" s="83"/>
      <c r="I2" s="84"/>
      <c r="J2" s="84"/>
      <c r="K2" s="84"/>
      <c r="L2" s="84"/>
      <c r="M2" s="84"/>
      <c r="N2" s="134"/>
      <c r="O2" s="133"/>
      <c r="P2" s="175"/>
      <c r="Q2" s="103"/>
    </row>
    <row r="3" spans="1:17" s="86" customFormat="1" x14ac:dyDescent="0.45">
      <c r="A3" s="89" t="s">
        <v>154</v>
      </c>
      <c r="B3" s="83"/>
      <c r="C3" s="83"/>
      <c r="D3" s="84"/>
      <c r="E3" s="84"/>
      <c r="F3" s="84"/>
      <c r="G3" s="84"/>
      <c r="H3" s="83"/>
      <c r="I3" s="84"/>
      <c r="J3" s="84"/>
      <c r="K3" s="84"/>
      <c r="L3" s="84"/>
      <c r="M3" s="84"/>
      <c r="N3" s="134"/>
      <c r="O3" s="133"/>
      <c r="P3" s="175"/>
      <c r="Q3" s="103"/>
    </row>
    <row r="4" spans="1:17" s="86" customFormat="1" ht="10.5" customHeight="1" x14ac:dyDescent="0.45">
      <c r="A4" s="88"/>
      <c r="B4" s="83"/>
      <c r="C4" s="83"/>
      <c r="D4" s="84"/>
      <c r="E4" s="84"/>
      <c r="F4" s="84"/>
      <c r="G4" s="84"/>
      <c r="H4" s="83"/>
      <c r="I4" s="84"/>
      <c r="J4" s="84"/>
      <c r="K4" s="84"/>
      <c r="L4" s="84"/>
      <c r="M4" s="84"/>
      <c r="N4" s="134"/>
      <c r="O4" s="133"/>
      <c r="P4" s="175"/>
      <c r="Q4" s="103"/>
    </row>
    <row r="5" spans="1:17" s="86" customFormat="1" x14ac:dyDescent="0.45">
      <c r="A5" s="88" t="s">
        <v>30</v>
      </c>
      <c r="B5" s="83"/>
      <c r="C5" s="83"/>
      <c r="D5" s="84"/>
      <c r="E5" s="84"/>
      <c r="F5" s="84"/>
      <c r="G5" s="84"/>
      <c r="H5" s="83"/>
      <c r="I5" s="84"/>
      <c r="J5" s="84"/>
      <c r="K5" s="84"/>
      <c r="L5" s="84"/>
      <c r="M5" s="84"/>
      <c r="N5" s="134"/>
      <c r="O5" s="133"/>
      <c r="P5" s="175"/>
      <c r="Q5" s="103"/>
    </row>
    <row r="6" spans="1:17" s="86" customFormat="1" ht="62.65" x14ac:dyDescent="0.45">
      <c r="A6" s="90" t="s">
        <v>31</v>
      </c>
      <c r="B6" s="91" t="s">
        <v>101</v>
      </c>
      <c r="C6" s="92" t="s">
        <v>102</v>
      </c>
      <c r="D6" s="91" t="s">
        <v>103</v>
      </c>
      <c r="E6" s="93" t="s">
        <v>12</v>
      </c>
      <c r="F6" s="93" t="s">
        <v>32</v>
      </c>
      <c r="G6" s="90" t="s">
        <v>104</v>
      </c>
      <c r="H6" s="90" t="s">
        <v>105</v>
      </c>
      <c r="I6" s="94"/>
      <c r="J6" s="94"/>
      <c r="K6" s="84"/>
      <c r="L6" s="84"/>
      <c r="M6" s="84"/>
      <c r="N6" s="172" t="s">
        <v>3</v>
      </c>
      <c r="O6" s="173" t="s">
        <v>6</v>
      </c>
      <c r="P6" s="176" t="s">
        <v>155</v>
      </c>
      <c r="Q6" s="103"/>
    </row>
    <row r="7" spans="1:17" s="86" customFormat="1" x14ac:dyDescent="0.45">
      <c r="A7" s="83" t="s">
        <v>39</v>
      </c>
      <c r="B7" s="83" t="s">
        <v>19</v>
      </c>
      <c r="C7" s="84" t="s">
        <v>41</v>
      </c>
      <c r="D7" s="83">
        <v>293</v>
      </c>
      <c r="E7" s="83">
        <v>6</v>
      </c>
      <c r="F7" s="95" t="s">
        <v>22</v>
      </c>
      <c r="G7" s="83" t="s">
        <v>42</v>
      </c>
      <c r="H7" s="96">
        <f>P7</f>
        <v>33.573</v>
      </c>
      <c r="I7" s="84"/>
      <c r="J7" s="84"/>
      <c r="K7" s="84"/>
      <c r="L7" s="84"/>
      <c r="M7" s="84"/>
      <c r="N7" s="134" t="str">
        <f>B7</f>
        <v>08310C</v>
      </c>
      <c r="O7" s="146" t="s">
        <v>40</v>
      </c>
      <c r="P7" s="177">
        <f>ROUND(VLOOKUP(N7,Jan2021Rates,3,0)*Incr2022,3)</f>
        <v>33.573</v>
      </c>
      <c r="Q7" s="103"/>
    </row>
    <row r="8" spans="1:17" s="86" customFormat="1" x14ac:dyDescent="0.45">
      <c r="A8" s="83" t="s">
        <v>39</v>
      </c>
      <c r="B8" s="83" t="s">
        <v>23</v>
      </c>
      <c r="C8" s="84" t="s">
        <v>44</v>
      </c>
      <c r="D8" s="83">
        <v>323</v>
      </c>
      <c r="E8" s="83">
        <v>7</v>
      </c>
      <c r="F8" s="95" t="s">
        <v>25</v>
      </c>
      <c r="G8" s="83" t="s">
        <v>42</v>
      </c>
      <c r="H8" s="96">
        <f>P8</f>
        <v>37.380000000000003</v>
      </c>
      <c r="I8" s="84"/>
      <c r="J8" s="84"/>
      <c r="K8" s="84"/>
      <c r="L8" s="84"/>
      <c r="M8" s="84"/>
      <c r="N8" s="134" t="str">
        <f>B8</f>
        <v>08311C</v>
      </c>
      <c r="O8" s="146" t="s">
        <v>148</v>
      </c>
      <c r="P8" s="177">
        <f>ROUND(VLOOKUP(N8,Jan2021Rates,3,0)*Incr2022,3)</f>
        <v>37.380000000000003</v>
      </c>
      <c r="Q8" s="103"/>
    </row>
    <row r="9" spans="1:17" s="86" customFormat="1" ht="9" customHeight="1" x14ac:dyDescent="0.45">
      <c r="A9" s="84"/>
      <c r="B9" s="84"/>
      <c r="C9" s="84"/>
      <c r="D9" s="84"/>
      <c r="E9" s="84"/>
      <c r="F9" s="83"/>
      <c r="G9" s="83"/>
      <c r="H9" s="83"/>
      <c r="I9" s="96"/>
      <c r="J9" s="84"/>
      <c r="K9" s="84"/>
      <c r="L9" s="84"/>
      <c r="M9" s="84"/>
      <c r="N9" s="134"/>
      <c r="O9" s="133"/>
      <c r="P9" s="177"/>
      <c r="Q9" s="103"/>
    </row>
    <row r="10" spans="1:17" s="86" customFormat="1" ht="12" customHeight="1" x14ac:dyDescent="0.45">
      <c r="A10" s="88" t="s">
        <v>45</v>
      </c>
      <c r="B10" s="88"/>
      <c r="C10" s="88"/>
      <c r="D10" s="85" t="s">
        <v>46</v>
      </c>
      <c r="E10" s="84"/>
      <c r="F10" s="83"/>
      <c r="G10" s="83" t="s">
        <v>42</v>
      </c>
      <c r="H10" s="96">
        <f>P10</f>
        <v>13.037000000000001</v>
      </c>
      <c r="J10" s="84"/>
      <c r="K10" s="84"/>
      <c r="L10" s="84"/>
      <c r="M10" s="84"/>
      <c r="N10" s="130" t="s">
        <v>106</v>
      </c>
      <c r="O10" s="147" t="s">
        <v>107</v>
      </c>
      <c r="P10" s="177">
        <f>ROUND(VLOOKUP(N10,Jan2021Rates,3,0)*Incr2022,3)</f>
        <v>13.037000000000001</v>
      </c>
      <c r="Q10" s="103"/>
    </row>
    <row r="11" spans="1:17" s="86" customFormat="1" ht="12" customHeight="1" x14ac:dyDescent="0.45">
      <c r="A11" s="83"/>
      <c r="B11" s="84"/>
      <c r="C11" s="83"/>
      <c r="D11" s="85" t="s">
        <v>47</v>
      </c>
      <c r="E11" s="84"/>
      <c r="F11" s="84"/>
      <c r="G11" s="83"/>
      <c r="H11" s="97"/>
      <c r="I11" s="84"/>
      <c r="J11" s="84"/>
      <c r="K11" s="84"/>
      <c r="L11" s="84"/>
      <c r="M11" s="84"/>
      <c r="N11" s="134"/>
      <c r="O11" s="133"/>
      <c r="P11" s="175"/>
      <c r="Q11" s="103"/>
    </row>
    <row r="12" spans="1:17" s="86" customFormat="1" ht="8.25" customHeight="1" x14ac:dyDescent="0.45">
      <c r="A12" s="84"/>
      <c r="B12" s="84"/>
      <c r="C12" s="83"/>
      <c r="D12" s="84"/>
      <c r="E12" s="84"/>
      <c r="F12" s="84"/>
      <c r="G12" s="84"/>
      <c r="H12" s="83" t="s">
        <v>48</v>
      </c>
      <c r="I12" s="84"/>
      <c r="J12" s="84"/>
      <c r="K12" s="84"/>
      <c r="L12" s="84"/>
      <c r="M12" s="84"/>
      <c r="N12" s="134"/>
      <c r="O12" s="133"/>
      <c r="P12" s="175"/>
      <c r="Q12" s="103"/>
    </row>
    <row r="13" spans="1:17" s="86" customFormat="1" ht="12" customHeight="1" x14ac:dyDescent="0.45">
      <c r="A13" s="99" t="s">
        <v>49</v>
      </c>
      <c r="B13" s="85"/>
      <c r="C13" s="83"/>
      <c r="D13" s="84"/>
      <c r="E13" s="84"/>
      <c r="F13" s="84"/>
      <c r="G13" s="84"/>
      <c r="H13" s="83"/>
      <c r="I13" s="84"/>
      <c r="J13" s="84"/>
      <c r="K13" s="84"/>
      <c r="L13" s="84"/>
      <c r="M13" s="84"/>
      <c r="N13" s="134"/>
      <c r="O13" s="133"/>
      <c r="P13" s="175"/>
      <c r="Q13" s="103"/>
    </row>
    <row r="14" spans="1:17" s="86" customFormat="1" ht="12" customHeight="1" x14ac:dyDescent="0.45">
      <c r="A14" s="100" t="str">
        <f>"A "&amp;TEXT(P14,"$#.###")&amp;" per hour shift differential be paid for shifts that start between the hours of 5:00 p.m. and 4:00 a.m."</f>
        <v>A $2.077 per hour shift differential be paid for shifts that start between the hours of 5:00 p.m. and 4:00 a.m.</v>
      </c>
      <c r="B14" s="100"/>
      <c r="C14" s="100"/>
      <c r="D14" s="100"/>
      <c r="E14" s="100"/>
      <c r="F14" s="100"/>
      <c r="G14" s="100"/>
      <c r="H14" s="100"/>
      <c r="I14" s="100"/>
      <c r="J14" s="100"/>
      <c r="K14" s="101"/>
      <c r="L14" s="102"/>
      <c r="M14" s="84"/>
      <c r="N14" s="130" t="s">
        <v>108</v>
      </c>
      <c r="O14" s="147" t="s">
        <v>109</v>
      </c>
      <c r="P14" s="177">
        <f>ROUND(VLOOKUP(N14,Jan2021Rates,3,0)*Incr2022,3)</f>
        <v>2.077</v>
      </c>
      <c r="Q14" s="103"/>
    </row>
    <row r="15" spans="1:17" s="86" customFormat="1" ht="12" customHeight="1" x14ac:dyDescent="0.45">
      <c r="A15" s="84"/>
      <c r="B15" s="85"/>
      <c r="C15" s="96"/>
      <c r="D15" s="84"/>
      <c r="E15" s="84"/>
      <c r="F15" s="84"/>
      <c r="G15" s="84"/>
      <c r="H15" s="83"/>
      <c r="I15" s="84"/>
      <c r="J15" s="84"/>
      <c r="K15" s="101"/>
      <c r="L15" s="102"/>
      <c r="M15" s="84"/>
      <c r="N15" s="134"/>
      <c r="O15" s="133"/>
      <c r="P15" s="175"/>
      <c r="Q15" s="103"/>
    </row>
    <row r="16" spans="1:17" s="86" customFormat="1" x14ac:dyDescent="0.45">
      <c r="A16" s="100" t="str">
        <f>"A "&amp;TEXT(P16,"$#.###")&amp;" per hour shift differential be paid for shifts that start between the hours of 5:00 a.m. and 6:00 a.m., "</f>
        <v xml:space="preserve">A $1.072 per hour shift differential be paid for shifts that start between the hours of 5:00 a.m. and 6:00 a.m., </v>
      </c>
      <c r="B16" s="100"/>
      <c r="C16" s="100"/>
      <c r="D16" s="100"/>
      <c r="E16" s="100"/>
      <c r="F16" s="100"/>
      <c r="G16" s="100"/>
      <c r="H16" s="100"/>
      <c r="I16" s="100"/>
      <c r="J16" s="100"/>
      <c r="K16" s="101"/>
      <c r="L16" s="102"/>
      <c r="M16" s="84"/>
      <c r="N16" s="130" t="s">
        <v>110</v>
      </c>
      <c r="O16" s="147" t="s">
        <v>111</v>
      </c>
      <c r="P16" s="177">
        <f>ROUND(VLOOKUP(N16,Jan2021Rates,3,0)*Incr2022,3)</f>
        <v>1.0720000000000001</v>
      </c>
      <c r="Q16" s="103"/>
    </row>
    <row r="17" spans="1:23" s="103" customFormat="1" ht="15" customHeight="1" x14ac:dyDescent="0.45">
      <c r="A17" s="103" t="s">
        <v>112</v>
      </c>
      <c r="N17" s="130" t="s">
        <v>113</v>
      </c>
      <c r="O17" s="147" t="s">
        <v>107</v>
      </c>
      <c r="P17" s="177">
        <f>ROUND(VLOOKUP(N17,Jan2021Rates,3,0)*Incr2022,3)</f>
        <v>1.0720000000000001</v>
      </c>
    </row>
    <row r="18" spans="1:23" s="103" customFormat="1" ht="15" customHeight="1" x14ac:dyDescent="0.45">
      <c r="N18" s="133"/>
      <c r="O18" s="133"/>
      <c r="P18" s="175"/>
    </row>
    <row r="19" spans="1:23" s="86" customFormat="1" ht="12" customHeight="1" x14ac:dyDescent="0.45">
      <c r="A19" s="99" t="s">
        <v>85</v>
      </c>
      <c r="B19" s="84"/>
      <c r="C19" s="96"/>
      <c r="D19" s="84"/>
      <c r="E19" s="84"/>
      <c r="F19" s="84"/>
      <c r="G19" s="84"/>
      <c r="H19" s="83"/>
      <c r="I19" s="84"/>
      <c r="J19" s="84"/>
      <c r="K19" s="101"/>
      <c r="L19" s="84"/>
      <c r="M19" s="84"/>
      <c r="N19" s="134"/>
      <c r="O19" s="133"/>
      <c r="P19" s="175"/>
      <c r="Q19" s="103"/>
    </row>
    <row r="20" spans="1:23" s="86" customFormat="1" ht="18.75" customHeight="1" x14ac:dyDescent="0.45">
      <c r="A20" s="100" t="str">
        <f>"A "&amp;TEXT(P20,"$#.###")&amp;" per hour premium be paid for each hour worked as an employer-designated Lead Worker."</f>
        <v>A $1.385 per hour premium be paid for each hour worked as an employer-designated Lead Worker.</v>
      </c>
      <c r="B20" s="100"/>
      <c r="C20" s="100"/>
      <c r="D20" s="100"/>
      <c r="E20" s="100"/>
      <c r="F20" s="100"/>
      <c r="G20" s="100"/>
      <c r="H20" s="100"/>
      <c r="I20" s="100"/>
      <c r="J20" s="100"/>
      <c r="K20" s="101"/>
      <c r="L20" s="102"/>
      <c r="M20" s="84"/>
      <c r="N20" s="130" t="s">
        <v>114</v>
      </c>
      <c r="O20" s="147" t="s">
        <v>115</v>
      </c>
      <c r="P20" s="177">
        <f>ROUND(VLOOKUP(N20,Jan2021Rates,3,0)*Incr2022,3)</f>
        <v>1.385</v>
      </c>
      <c r="Q20" s="103"/>
    </row>
    <row r="21" spans="1:23" s="86" customFormat="1" ht="12" customHeight="1" x14ac:dyDescent="0.45">
      <c r="A21" s="85"/>
      <c r="B21" s="85"/>
      <c r="C21" s="96"/>
      <c r="D21" s="84"/>
      <c r="E21" s="84"/>
      <c r="F21" s="84"/>
      <c r="G21" s="84"/>
      <c r="H21" s="83"/>
      <c r="I21" s="84"/>
      <c r="J21" s="84"/>
      <c r="K21" s="101"/>
      <c r="L21" s="84"/>
      <c r="M21" s="84"/>
      <c r="N21" s="134"/>
      <c r="O21" s="133"/>
      <c r="P21" s="175"/>
      <c r="Q21" s="103"/>
    </row>
    <row r="22" spans="1:23" s="86" customFormat="1" ht="17.25" customHeight="1" x14ac:dyDescent="0.45">
      <c r="A22" s="104" t="s">
        <v>55</v>
      </c>
      <c r="B22" s="104"/>
      <c r="C22" s="104"/>
      <c r="D22" s="104"/>
      <c r="E22" s="104"/>
      <c r="F22" s="104"/>
      <c r="G22" s="104"/>
      <c r="H22" s="104"/>
      <c r="I22" s="104"/>
      <c r="J22" s="104"/>
      <c r="K22" s="101"/>
      <c r="L22" s="84"/>
      <c r="M22" s="84"/>
      <c r="N22" s="134"/>
      <c r="O22" s="133"/>
      <c r="P22" s="175"/>
      <c r="Q22" s="103"/>
    </row>
    <row r="23" spans="1:23" s="86" customFormat="1" ht="16.5" customHeight="1" x14ac:dyDescent="0.45">
      <c r="A23" s="100" t="s">
        <v>56</v>
      </c>
      <c r="B23" s="100"/>
      <c r="C23" s="100"/>
      <c r="D23" s="100"/>
      <c r="E23" s="100"/>
      <c r="F23" s="100"/>
      <c r="G23" s="100"/>
      <c r="H23" s="100"/>
      <c r="I23" s="100"/>
      <c r="J23" s="100"/>
      <c r="K23" s="101"/>
      <c r="L23" s="84"/>
      <c r="M23" s="84"/>
      <c r="N23" s="172" t="s">
        <v>116</v>
      </c>
      <c r="O23" s="173"/>
      <c r="P23" s="176" t="s">
        <v>155</v>
      </c>
      <c r="Q23" s="103"/>
    </row>
    <row r="24" spans="1:23" s="86" customFormat="1" ht="16.5" customHeight="1" x14ac:dyDescent="0.45">
      <c r="A24" s="84"/>
      <c r="B24" s="96">
        <f>P24</f>
        <v>0.157</v>
      </c>
      <c r="C24" s="85" t="s">
        <v>57</v>
      </c>
      <c r="D24" s="85"/>
      <c r="E24" s="85"/>
      <c r="F24" s="85"/>
      <c r="G24" s="85"/>
      <c r="H24" s="85"/>
      <c r="I24" s="85"/>
      <c r="J24" s="85"/>
      <c r="K24" s="101"/>
      <c r="L24" s="84"/>
      <c r="M24" s="84"/>
      <c r="N24" s="134" t="s">
        <v>117</v>
      </c>
      <c r="O24" s="133"/>
      <c r="P24" s="177">
        <f>ROUND(VLOOKUP(N24,Jan2021Rates,3,0)*Incr2022,3)</f>
        <v>0.157</v>
      </c>
      <c r="Q24" s="103"/>
    </row>
    <row r="25" spans="1:23" s="86" customFormat="1" ht="16.5" customHeight="1" x14ac:dyDescent="0.45">
      <c r="A25" s="84"/>
      <c r="B25" s="96">
        <f t="shared" ref="B25:B27" si="0">P25</f>
        <v>0.35</v>
      </c>
      <c r="C25" s="100" t="s">
        <v>58</v>
      </c>
      <c r="D25" s="100"/>
      <c r="E25" s="100"/>
      <c r="F25" s="100"/>
      <c r="G25" s="100"/>
      <c r="H25" s="100"/>
      <c r="I25" s="100"/>
      <c r="J25" s="100"/>
      <c r="K25" s="101"/>
      <c r="L25" s="84"/>
      <c r="M25" s="84"/>
      <c r="N25" s="134" t="s">
        <v>118</v>
      </c>
      <c r="O25" s="133"/>
      <c r="P25" s="177">
        <f>ROUND(VLOOKUP(N25,Jan2021Rates,3,0)*Incr2022,3)</f>
        <v>0.35</v>
      </c>
      <c r="Q25" s="103"/>
    </row>
    <row r="26" spans="1:23" s="86" customFormat="1" ht="16.5" customHeight="1" x14ac:dyDescent="0.45">
      <c r="A26" s="84"/>
      <c r="B26" s="96">
        <f t="shared" si="0"/>
        <v>0.42599999999999999</v>
      </c>
      <c r="C26" s="100" t="s">
        <v>59</v>
      </c>
      <c r="D26" s="100"/>
      <c r="E26" s="100"/>
      <c r="F26" s="100"/>
      <c r="G26" s="100"/>
      <c r="H26" s="100"/>
      <c r="I26" s="100"/>
      <c r="J26" s="100"/>
      <c r="K26" s="101"/>
      <c r="L26" s="84"/>
      <c r="M26" s="84"/>
      <c r="N26" s="134" t="s">
        <v>119</v>
      </c>
      <c r="O26" s="133"/>
      <c r="P26" s="177">
        <f>ROUND(VLOOKUP(N26,Jan2021Rates,3,0)*Incr2022,3)</f>
        <v>0.42599999999999999</v>
      </c>
      <c r="Q26" s="103"/>
    </row>
    <row r="27" spans="1:23" s="86" customFormat="1" ht="16.5" customHeight="1" x14ac:dyDescent="0.45">
      <c r="A27" s="84"/>
      <c r="B27" s="96">
        <f t="shared" si="0"/>
        <v>0.74199999999999999</v>
      </c>
      <c r="C27" s="100" t="s">
        <v>60</v>
      </c>
      <c r="D27" s="100"/>
      <c r="E27" s="100"/>
      <c r="F27" s="100"/>
      <c r="G27" s="100"/>
      <c r="H27" s="100"/>
      <c r="I27" s="100"/>
      <c r="J27" s="100"/>
      <c r="K27" s="101"/>
      <c r="L27" s="84"/>
      <c r="M27" s="84"/>
      <c r="N27" s="134" t="s">
        <v>120</v>
      </c>
      <c r="O27" s="133"/>
      <c r="P27" s="177">
        <f>ROUND(VLOOKUP(N27,Jan2021Rates,3,0)*Incr2022,3)</f>
        <v>0.74199999999999999</v>
      </c>
      <c r="Q27" s="103"/>
    </row>
    <row r="28" spans="1:23" s="86" customFormat="1" ht="10.5" customHeight="1" thickBot="1" x14ac:dyDescent="0.5">
      <c r="A28" s="168"/>
      <c r="B28" s="169"/>
      <c r="C28" s="170"/>
      <c r="D28" s="170"/>
      <c r="E28" s="168"/>
      <c r="F28" s="168"/>
      <c r="G28" s="168"/>
      <c r="H28" s="170"/>
      <c r="I28" s="168"/>
      <c r="J28" s="168"/>
      <c r="K28" s="101"/>
      <c r="L28" s="84"/>
      <c r="M28" s="84"/>
      <c r="N28" s="134"/>
      <c r="O28" s="133"/>
      <c r="P28" s="175"/>
      <c r="Q28" s="103"/>
    </row>
    <row r="29" spans="1:23" s="86" customFormat="1" ht="20.25" customHeight="1" x14ac:dyDescent="0.45">
      <c r="A29" s="99" t="s">
        <v>98</v>
      </c>
      <c r="B29" s="101"/>
      <c r="C29" s="107"/>
      <c r="D29" s="107"/>
      <c r="E29" s="101"/>
      <c r="F29" s="101"/>
      <c r="G29" s="101"/>
      <c r="H29" s="107"/>
      <c r="I29" s="101"/>
      <c r="J29" s="101"/>
      <c r="K29" s="101"/>
      <c r="L29" s="84"/>
      <c r="M29" s="84"/>
      <c r="N29" s="134"/>
      <c r="O29" s="133"/>
      <c r="P29" s="175"/>
      <c r="Q29" s="103"/>
    </row>
    <row r="30" spans="1:23" s="86" customFormat="1" ht="62.65" x14ac:dyDescent="0.45">
      <c r="A30" s="91" t="s">
        <v>2</v>
      </c>
      <c r="B30" s="91" t="s">
        <v>101</v>
      </c>
      <c r="C30" s="92" t="s">
        <v>102</v>
      </c>
      <c r="D30" s="91" t="s">
        <v>103</v>
      </c>
      <c r="E30" s="93" t="s">
        <v>12</v>
      </c>
      <c r="F30" s="93" t="s">
        <v>32</v>
      </c>
      <c r="G30" s="90" t="s">
        <v>104</v>
      </c>
      <c r="H30" s="91" t="s">
        <v>62</v>
      </c>
      <c r="I30" s="108" t="s">
        <v>63</v>
      </c>
      <c r="J30" s="94"/>
      <c r="K30" s="109"/>
      <c r="L30" s="101"/>
      <c r="M30" s="84"/>
      <c r="N30" s="172" t="s">
        <v>3</v>
      </c>
      <c r="O30" s="173" t="s">
        <v>6</v>
      </c>
      <c r="P30" s="176" t="s">
        <v>155</v>
      </c>
      <c r="Q30" s="180"/>
      <c r="R30" s="111"/>
      <c r="S30" s="111"/>
      <c r="T30" s="111"/>
      <c r="U30" s="111"/>
      <c r="V30" s="113"/>
      <c r="W30" s="114"/>
    </row>
    <row r="31" spans="1:23" s="86" customFormat="1" x14ac:dyDescent="0.45">
      <c r="A31" s="83" t="s">
        <v>39</v>
      </c>
      <c r="B31" s="83" t="s">
        <v>65</v>
      </c>
      <c r="C31" s="85" t="s">
        <v>66</v>
      </c>
      <c r="D31" s="83">
        <v>248</v>
      </c>
      <c r="E31" s="83">
        <v>5</v>
      </c>
      <c r="F31" s="95" t="s">
        <v>22</v>
      </c>
      <c r="G31" s="83" t="s">
        <v>42</v>
      </c>
      <c r="H31" s="96" t="s">
        <v>67</v>
      </c>
      <c r="I31" s="96">
        <f>P31</f>
        <v>26.454000000000001</v>
      </c>
      <c r="J31" s="84"/>
      <c r="K31" s="84"/>
      <c r="L31" s="84"/>
      <c r="M31" s="84"/>
      <c r="N31" s="133" t="str">
        <f>B31</f>
        <v>09300C</v>
      </c>
      <c r="O31" s="148" t="s">
        <v>64</v>
      </c>
      <c r="P31" s="177">
        <f>ROUND(VLOOKUP(N31,Jan2021Rates,3,0)*Incr2022,3)</f>
        <v>26.454000000000001</v>
      </c>
      <c r="Q31" s="181"/>
      <c r="R31" s="119"/>
      <c r="S31" s="119"/>
      <c r="T31" s="117"/>
      <c r="U31" s="120"/>
      <c r="V31" s="120"/>
      <c r="W31" s="119"/>
    </row>
    <row r="32" spans="1:23" s="86" customFormat="1" ht="15" customHeight="1" x14ac:dyDescent="0.45">
      <c r="A32" s="83"/>
      <c r="B32" s="83" t="s">
        <v>62</v>
      </c>
      <c r="C32" s="85" t="s">
        <v>68</v>
      </c>
      <c r="D32" s="84"/>
      <c r="E32" s="84"/>
      <c r="F32" s="84"/>
      <c r="G32" s="83" t="s">
        <v>42</v>
      </c>
      <c r="H32" s="96">
        <f>P32-P31</f>
        <v>1.8000000000000007</v>
      </c>
      <c r="I32" s="96">
        <f>P32</f>
        <v>28.254000000000001</v>
      </c>
      <c r="J32" s="84"/>
      <c r="K32" s="84"/>
      <c r="L32" s="84"/>
      <c r="M32" s="84"/>
      <c r="N32" s="166" t="s">
        <v>149</v>
      </c>
      <c r="O32" s="148" t="s">
        <v>64</v>
      </c>
      <c r="P32" s="177">
        <f>ROUND(VLOOKUP(N32,Jan2021Rates,3,0)*Incr2022,3)</f>
        <v>28.254000000000001</v>
      </c>
      <c r="Q32" s="181"/>
      <c r="R32" s="119"/>
      <c r="S32" s="119"/>
      <c r="T32" s="117"/>
      <c r="U32" s="120"/>
      <c r="V32" s="120"/>
      <c r="W32" s="119"/>
    </row>
    <row r="33" spans="1:22" s="86" customFormat="1" x14ac:dyDescent="0.45">
      <c r="A33" s="83"/>
      <c r="B33" s="83" t="s">
        <v>62</v>
      </c>
      <c r="C33" s="85" t="s">
        <v>69</v>
      </c>
      <c r="D33" s="84"/>
      <c r="E33" s="84"/>
      <c r="F33" s="84"/>
      <c r="G33" s="83" t="s">
        <v>42</v>
      </c>
      <c r="H33" s="96">
        <f>P33-P31</f>
        <v>6.6229999999999976</v>
      </c>
      <c r="I33" s="96">
        <f>P33</f>
        <v>33.076999999999998</v>
      </c>
      <c r="J33" s="84"/>
      <c r="K33" s="84"/>
      <c r="L33" s="84"/>
      <c r="M33" s="84"/>
      <c r="N33" s="166" t="s">
        <v>150</v>
      </c>
      <c r="O33" s="148" t="s">
        <v>64</v>
      </c>
      <c r="P33" s="177">
        <f>ROUND(VLOOKUP(N33,Jan2021Rates,3,0)*Incr2022,3)</f>
        <v>33.076999999999998</v>
      </c>
      <c r="Q33" s="182"/>
      <c r="T33" s="123"/>
      <c r="U33" s="125"/>
      <c r="V33" s="125"/>
    </row>
    <row r="34" spans="1:22" s="86" customFormat="1" x14ac:dyDescent="0.45">
      <c r="A34" s="83"/>
      <c r="B34" s="83" t="s">
        <v>62</v>
      </c>
      <c r="C34" s="85" t="s">
        <v>70</v>
      </c>
      <c r="D34" s="84"/>
      <c r="E34" s="84"/>
      <c r="F34" s="84"/>
      <c r="G34" s="83" t="s">
        <v>42</v>
      </c>
      <c r="H34" s="96">
        <f>P34-P31</f>
        <v>16.463000000000001</v>
      </c>
      <c r="I34" s="96">
        <f>P34</f>
        <v>42.917000000000002</v>
      </c>
      <c r="J34" s="84"/>
      <c r="K34" s="84"/>
      <c r="L34" s="84"/>
      <c r="M34" s="84"/>
      <c r="N34" s="134" t="s">
        <v>151</v>
      </c>
      <c r="O34" s="148" t="s">
        <v>64</v>
      </c>
      <c r="P34" s="177">
        <f>ROUND(VLOOKUP(N34,Jan2021Rates,3,0)*Incr2022,3)</f>
        <v>42.917000000000002</v>
      </c>
      <c r="Q34" s="182"/>
      <c r="T34" s="123"/>
      <c r="U34" s="125"/>
      <c r="V34" s="125"/>
    </row>
    <row r="35" spans="1:22" s="86" customFormat="1" x14ac:dyDescent="0.45">
      <c r="A35" s="84"/>
      <c r="B35" s="83"/>
      <c r="C35" s="126" t="s">
        <v>71</v>
      </c>
      <c r="D35" s="84"/>
      <c r="E35" s="84"/>
      <c r="F35" s="84"/>
      <c r="G35" s="84"/>
      <c r="H35" s="84"/>
      <c r="I35" s="84"/>
      <c r="J35" s="84"/>
      <c r="K35" s="84"/>
      <c r="L35" s="84"/>
      <c r="M35" s="84"/>
      <c r="N35" s="134"/>
      <c r="O35" s="133"/>
      <c r="P35" s="175"/>
      <c r="Q35" s="103"/>
    </row>
    <row r="36" spans="1:22" s="86" customFormat="1" x14ac:dyDescent="0.45">
      <c r="A36" s="84"/>
      <c r="B36" s="83" t="s">
        <v>62</v>
      </c>
      <c r="C36" s="85" t="s">
        <v>72</v>
      </c>
      <c r="D36" s="84"/>
      <c r="E36" s="84"/>
      <c r="F36" s="84"/>
      <c r="G36" s="83" t="s">
        <v>73</v>
      </c>
      <c r="H36" s="96">
        <f>P36-P31</f>
        <v>7.804000000000002</v>
      </c>
      <c r="I36" s="96">
        <f>P36</f>
        <v>34.258000000000003</v>
      </c>
      <c r="J36" s="84"/>
      <c r="K36" s="84"/>
      <c r="L36" s="171"/>
      <c r="M36" s="84"/>
      <c r="N36" s="134" t="s">
        <v>152</v>
      </c>
      <c r="O36" s="148" t="s">
        <v>64</v>
      </c>
      <c r="P36" s="177">
        <f>ROUND(VLOOKUP(N36,Jan2021Rates,3,0)*Incr2022,3)</f>
        <v>34.258000000000003</v>
      </c>
      <c r="Q36" s="182"/>
      <c r="T36" s="123"/>
      <c r="U36" s="127"/>
      <c r="V36" s="125"/>
    </row>
    <row r="37" spans="1:22" s="86" customFormat="1" x14ac:dyDescent="0.45">
      <c r="A37" s="84"/>
      <c r="B37" s="84"/>
      <c r="C37" s="83"/>
      <c r="D37" s="85"/>
      <c r="E37" s="84"/>
      <c r="F37" s="84"/>
      <c r="G37" s="83"/>
      <c r="H37" s="96"/>
      <c r="I37" s="96"/>
      <c r="J37" s="84"/>
      <c r="K37" s="84"/>
      <c r="L37" s="84"/>
      <c r="M37" s="84"/>
      <c r="N37" s="134"/>
      <c r="O37" s="148"/>
      <c r="P37" s="177"/>
      <c r="Q37" s="182"/>
      <c r="T37" s="123"/>
      <c r="U37" s="127"/>
      <c r="V37" s="125"/>
    </row>
    <row r="38" spans="1:22" s="86" customFormat="1" ht="29.25" customHeight="1" x14ac:dyDescent="0.45">
      <c r="A38" s="242" t="s">
        <v>137</v>
      </c>
      <c r="B38" s="242"/>
      <c r="C38" s="242"/>
      <c r="D38" s="242"/>
      <c r="E38" s="242"/>
      <c r="F38" s="242"/>
      <c r="G38" s="242"/>
      <c r="H38" s="242"/>
      <c r="I38" s="242"/>
      <c r="J38" s="242"/>
      <c r="K38" s="84"/>
      <c r="L38" s="84"/>
      <c r="M38" s="84"/>
      <c r="N38" s="172" t="s">
        <v>156</v>
      </c>
      <c r="O38" s="173" t="s">
        <v>157</v>
      </c>
      <c r="P38" s="176" t="s">
        <v>155</v>
      </c>
      <c r="Q38" s="182"/>
      <c r="T38" s="123"/>
      <c r="U38" s="127"/>
      <c r="V38" s="125"/>
    </row>
    <row r="39" spans="1:22" s="86" customFormat="1" ht="14.25" customHeight="1" x14ac:dyDescent="0.45">
      <c r="A39" s="128"/>
      <c r="B39" s="105"/>
      <c r="C39" s="106"/>
      <c r="D39" s="128"/>
      <c r="E39" s="105"/>
      <c r="F39" s="105"/>
      <c r="G39" s="106"/>
      <c r="H39" s="129"/>
      <c r="I39" s="129"/>
      <c r="J39" s="105"/>
      <c r="K39" s="84"/>
      <c r="L39" s="84"/>
      <c r="M39" s="84"/>
      <c r="N39" s="174" t="s">
        <v>158</v>
      </c>
      <c r="O39" s="174" t="s">
        <v>159</v>
      </c>
      <c r="P39" s="178">
        <f>H36</f>
        <v>7.804000000000002</v>
      </c>
      <c r="Q39" s="182"/>
      <c r="T39" s="123"/>
      <c r="U39" s="127"/>
      <c r="V39" s="125"/>
    </row>
    <row r="40" spans="1:22" s="86" customFormat="1" x14ac:dyDescent="0.45">
      <c r="A40" s="99"/>
      <c r="C40" s="84"/>
      <c r="D40" s="84"/>
      <c r="E40" s="84"/>
      <c r="F40" s="84"/>
      <c r="G40" s="84"/>
      <c r="H40" s="84"/>
      <c r="I40" s="84"/>
      <c r="J40" s="84"/>
      <c r="K40" s="84"/>
      <c r="L40" s="84"/>
      <c r="M40" s="84"/>
      <c r="N40" s="174" t="s">
        <v>160</v>
      </c>
      <c r="O40" s="174" t="s">
        <v>161</v>
      </c>
      <c r="P40" s="178">
        <f>H36</f>
        <v>7.804000000000002</v>
      </c>
      <c r="Q40" s="103"/>
    </row>
    <row r="41" spans="1:22" s="86" customFormat="1" ht="27.95" customHeight="1" x14ac:dyDescent="0.45">
      <c r="A41" s="242" t="s">
        <v>144</v>
      </c>
      <c r="B41" s="242"/>
      <c r="C41" s="242"/>
      <c r="D41" s="242"/>
      <c r="E41" s="242"/>
      <c r="F41" s="242"/>
      <c r="G41" s="242"/>
      <c r="H41" s="242"/>
      <c r="I41" s="242"/>
      <c r="J41" s="242"/>
      <c r="K41" s="84"/>
      <c r="L41" s="84"/>
      <c r="M41" s="84"/>
      <c r="N41" s="174" t="s">
        <v>162</v>
      </c>
      <c r="O41" s="174" t="s">
        <v>163</v>
      </c>
      <c r="P41" s="178">
        <f>H36</f>
        <v>7.804000000000002</v>
      </c>
      <c r="Q41" s="103"/>
    </row>
    <row r="42" spans="1:22" s="86" customFormat="1" x14ac:dyDescent="0.45">
      <c r="A42" s="84"/>
      <c r="C42" s="84"/>
      <c r="D42" s="84"/>
      <c r="E42" s="84"/>
      <c r="F42" s="84"/>
      <c r="G42" s="84"/>
      <c r="H42" s="84"/>
      <c r="I42" s="84"/>
      <c r="J42" s="84"/>
      <c r="K42" s="84"/>
      <c r="L42" s="84"/>
      <c r="M42" s="84"/>
      <c r="N42" s="174" t="s">
        <v>164</v>
      </c>
      <c r="O42" s="174" t="s">
        <v>165</v>
      </c>
      <c r="P42" s="178">
        <f>H34</f>
        <v>16.463000000000001</v>
      </c>
      <c r="Q42" s="103"/>
    </row>
    <row r="43" spans="1:22" s="86" customFormat="1" x14ac:dyDescent="0.45">
      <c r="A43" s="99" t="s">
        <v>93</v>
      </c>
      <c r="C43" s="84"/>
      <c r="D43" s="84"/>
      <c r="E43" s="84"/>
      <c r="F43" s="84"/>
      <c r="G43" s="84"/>
      <c r="H43" s="84"/>
      <c r="I43" s="84"/>
      <c r="J43" s="84"/>
      <c r="K43" s="84"/>
      <c r="L43" s="84"/>
      <c r="M43" s="84"/>
      <c r="N43" s="174" t="s">
        <v>166</v>
      </c>
      <c r="O43" s="174" t="s">
        <v>167</v>
      </c>
      <c r="P43" s="178">
        <f>H34</f>
        <v>16.463000000000001</v>
      </c>
      <c r="Q43" s="103"/>
    </row>
    <row r="44" spans="1:22" s="86" customFormat="1" ht="27.95" customHeight="1" x14ac:dyDescent="0.45">
      <c r="A44" s="242" t="s">
        <v>145</v>
      </c>
      <c r="B44" s="242"/>
      <c r="C44" s="242"/>
      <c r="D44" s="242"/>
      <c r="E44" s="242"/>
      <c r="F44" s="242"/>
      <c r="G44" s="242"/>
      <c r="H44" s="242"/>
      <c r="I44" s="242"/>
      <c r="J44" s="242"/>
      <c r="K44" s="84"/>
      <c r="L44" s="84"/>
      <c r="M44" s="84"/>
      <c r="N44" s="174" t="s">
        <v>168</v>
      </c>
      <c r="O44" s="174" t="s">
        <v>169</v>
      </c>
      <c r="P44" s="178">
        <f>H34</f>
        <v>16.463000000000001</v>
      </c>
      <c r="Q44" s="103"/>
    </row>
    <row r="45" spans="1:22" s="86" customFormat="1" x14ac:dyDescent="0.45">
      <c r="A45" s="84"/>
      <c r="C45" s="84"/>
      <c r="D45" s="84"/>
      <c r="E45" s="84"/>
      <c r="F45" s="84"/>
      <c r="G45" s="84"/>
      <c r="H45" s="84"/>
      <c r="I45" s="84"/>
      <c r="J45" s="84"/>
      <c r="K45" s="84"/>
      <c r="L45" s="84"/>
      <c r="M45" s="84"/>
      <c r="N45" s="174" t="s">
        <v>170</v>
      </c>
      <c r="O45" s="174" t="s">
        <v>171</v>
      </c>
      <c r="P45" s="178">
        <f>H33</f>
        <v>6.6229999999999976</v>
      </c>
      <c r="Q45" s="103"/>
    </row>
    <row r="46" spans="1:22" s="86" customFormat="1" x14ac:dyDescent="0.45">
      <c r="A46" s="84"/>
      <c r="C46" s="84"/>
      <c r="D46" s="84"/>
      <c r="E46" s="84"/>
      <c r="F46" s="84"/>
      <c r="G46" s="84"/>
      <c r="H46" s="84"/>
      <c r="I46" s="84"/>
      <c r="J46" s="84"/>
      <c r="K46" s="84"/>
      <c r="L46" s="84"/>
      <c r="M46" s="84"/>
      <c r="N46" s="174" t="s">
        <v>172</v>
      </c>
      <c r="O46" s="174" t="s">
        <v>173</v>
      </c>
      <c r="P46" s="178">
        <f>H33</f>
        <v>6.6229999999999976</v>
      </c>
      <c r="Q46" s="103"/>
    </row>
    <row r="47" spans="1:22" s="86" customFormat="1" x14ac:dyDescent="0.45">
      <c r="A47" s="84"/>
      <c r="C47" s="84"/>
      <c r="D47" s="84"/>
      <c r="E47" s="84"/>
      <c r="F47" s="84"/>
      <c r="G47" s="84"/>
      <c r="H47" s="84"/>
      <c r="I47" s="84"/>
      <c r="J47" s="84"/>
      <c r="K47" s="84"/>
      <c r="L47" s="84"/>
      <c r="M47" s="84"/>
      <c r="N47" s="174" t="s">
        <v>174</v>
      </c>
      <c r="O47" s="174" t="s">
        <v>175</v>
      </c>
      <c r="P47" s="178">
        <f>H33</f>
        <v>6.6229999999999976</v>
      </c>
      <c r="Q47" s="103"/>
    </row>
    <row r="48" spans="1:22" x14ac:dyDescent="0.45">
      <c r="N48" s="174" t="s">
        <v>176</v>
      </c>
      <c r="O48" s="174" t="s">
        <v>177</v>
      </c>
      <c r="P48" s="178">
        <f>H32</f>
        <v>1.8000000000000007</v>
      </c>
      <c r="Q48" s="183"/>
    </row>
    <row r="49" spans="1:17" s="86" customFormat="1" x14ac:dyDescent="0.45">
      <c r="A49" s="89"/>
      <c r="B49" s="101"/>
      <c r="C49" s="107"/>
      <c r="D49" s="107"/>
      <c r="E49" s="84"/>
      <c r="F49" s="84"/>
      <c r="G49" s="84"/>
      <c r="H49" s="84"/>
      <c r="I49" s="84"/>
      <c r="J49" s="84"/>
      <c r="K49" s="84"/>
      <c r="L49" s="84"/>
      <c r="M49" s="84"/>
      <c r="N49" s="174" t="s">
        <v>178</v>
      </c>
      <c r="O49" s="174" t="s">
        <v>179</v>
      </c>
      <c r="P49" s="178">
        <f>H32</f>
        <v>1.8000000000000007</v>
      </c>
      <c r="Q49" s="103"/>
    </row>
    <row r="50" spans="1:17" s="86" customFormat="1" x14ac:dyDescent="0.45">
      <c r="A50" s="99"/>
      <c r="B50" s="83"/>
      <c r="C50" s="83"/>
      <c r="D50" s="84"/>
      <c r="E50" s="84"/>
      <c r="F50" s="84"/>
      <c r="G50" s="84"/>
      <c r="H50" s="84"/>
      <c r="I50" s="84"/>
      <c r="J50" s="84"/>
      <c r="K50" s="84"/>
      <c r="L50" s="84"/>
      <c r="M50" s="84"/>
      <c r="N50" s="174" t="s">
        <v>180</v>
      </c>
      <c r="O50" s="174" t="s">
        <v>181</v>
      </c>
      <c r="P50" s="178">
        <f>H32</f>
        <v>1.8000000000000007</v>
      </c>
      <c r="Q50" s="103"/>
    </row>
  </sheetData>
  <mergeCells count="3">
    <mergeCell ref="A38:J38"/>
    <mergeCell ref="A41:J41"/>
    <mergeCell ref="A44:J44"/>
  </mergeCells>
  <pageMargins left="0.28999999999999998" right="0" top="0.34" bottom="0.25" header="0.19" footer="0.26"/>
  <pageSetup orientation="landscape"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EAA9E-8ADC-424D-994E-E77FB3388BBA}">
  <sheetPr codeName="Sheet8"/>
  <dimension ref="A1:Z75"/>
  <sheetViews>
    <sheetView showGridLines="0" topLeftCell="A22" workbookViewId="0">
      <selection activeCell="B37" sqref="B37:D43"/>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bestFit="1" customWidth="1"/>
    <col min="13" max="13" width="5.59765625" style="84"/>
    <col min="14" max="14" width="13.265625" style="187" hidden="1" customWidth="1"/>
    <col min="15" max="15" width="13.265625" style="188" hidden="1" customWidth="1"/>
    <col min="16" max="16" width="27.3984375" style="184" hidden="1" customWidth="1"/>
    <col min="17" max="17" width="15.86328125" style="185" hidden="1" customWidth="1"/>
    <col min="18" max="18" width="13.265625" style="132" hidden="1" customWidth="1"/>
    <col min="19" max="19" width="7.59765625" style="204" hidden="1" customWidth="1"/>
    <col min="20" max="20" width="22" style="132" hidden="1" customWidth="1"/>
    <col min="21" max="21" width="9.3984375" style="204" hidden="1" customWidth="1"/>
    <col min="22" max="22" width="7.59765625" style="132" hidden="1" customWidth="1"/>
    <col min="23" max="23" width="8.265625" style="86" customWidth="1"/>
    <col min="24" max="24" width="9.3984375" style="86" customWidth="1"/>
    <col min="25" max="26" width="5.59765625" style="86"/>
    <col min="27" max="16384" width="5.59765625" style="84"/>
  </cols>
  <sheetData>
    <row r="1" spans="1:26" s="224" customFormat="1" ht="15.75" x14ac:dyDescent="0.5">
      <c r="A1" s="232" t="s">
        <v>182</v>
      </c>
      <c r="N1" s="225"/>
      <c r="O1" s="226"/>
      <c r="P1" s="227"/>
      <c r="Q1" s="228"/>
      <c r="R1" s="229"/>
      <c r="S1" s="230"/>
      <c r="T1" s="229"/>
      <c r="U1" s="230"/>
      <c r="V1" s="229"/>
      <c r="W1" s="231"/>
      <c r="X1" s="231"/>
      <c r="Y1" s="231"/>
      <c r="Z1" s="231"/>
    </row>
    <row r="2" spans="1:26" s="86" customFormat="1" ht="15.75" x14ac:dyDescent="0.5">
      <c r="A2" s="82" t="s">
        <v>26</v>
      </c>
      <c r="B2" s="83"/>
      <c r="C2" s="83"/>
      <c r="D2" s="84"/>
      <c r="E2" s="84"/>
      <c r="F2" s="84"/>
      <c r="G2" s="85" t="s">
        <v>27</v>
      </c>
      <c r="H2" s="83"/>
      <c r="I2" s="84"/>
      <c r="J2" s="84"/>
      <c r="K2" s="84"/>
      <c r="M2" s="84"/>
      <c r="N2" s="184" t="s">
        <v>183</v>
      </c>
      <c r="O2" s="185"/>
      <c r="P2" s="186">
        <v>1.0249999999999999</v>
      </c>
      <c r="Q2" s="185"/>
      <c r="R2" s="132"/>
      <c r="S2" s="204"/>
      <c r="T2" s="132"/>
      <c r="U2" s="204"/>
      <c r="V2" s="132"/>
    </row>
    <row r="3" spans="1:26" s="86" customFormat="1" x14ac:dyDescent="0.45">
      <c r="A3" s="88" t="s">
        <v>28</v>
      </c>
      <c r="B3" s="83"/>
      <c r="C3" s="83"/>
      <c r="D3" s="84"/>
      <c r="E3" s="84"/>
      <c r="F3" s="84"/>
      <c r="G3" s="84"/>
      <c r="H3" s="83"/>
      <c r="I3" s="84"/>
      <c r="J3" s="84"/>
      <c r="K3" s="84"/>
      <c r="L3" s="84"/>
      <c r="M3" s="84"/>
      <c r="N3" s="184" t="s">
        <v>184</v>
      </c>
      <c r="O3" s="201"/>
      <c r="P3" s="211">
        <v>1.02</v>
      </c>
      <c r="Q3" s="185"/>
      <c r="R3" s="132"/>
      <c r="S3" s="204"/>
      <c r="T3" s="132"/>
      <c r="U3" s="204"/>
      <c r="V3" s="132"/>
    </row>
    <row r="4" spans="1:26" s="86" customFormat="1" x14ac:dyDescent="0.45">
      <c r="A4" s="89" t="s">
        <v>185</v>
      </c>
      <c r="B4" s="83"/>
      <c r="C4" s="83"/>
      <c r="D4" s="84"/>
      <c r="E4" s="84"/>
      <c r="F4" s="84"/>
      <c r="G4" s="84"/>
      <c r="H4" s="83"/>
      <c r="I4" s="84"/>
      <c r="J4" s="84"/>
      <c r="K4" s="84"/>
      <c r="L4" s="84"/>
      <c r="M4" s="84"/>
      <c r="N4" s="187" t="s">
        <v>186</v>
      </c>
      <c r="O4" s="188"/>
      <c r="P4" s="184" t="s">
        <v>187</v>
      </c>
      <c r="Q4" s="185"/>
      <c r="R4" s="132"/>
      <c r="S4" s="204"/>
      <c r="T4" s="132"/>
      <c r="U4" s="204"/>
      <c r="V4" s="132"/>
    </row>
    <row r="5" spans="1:26" s="86" customFormat="1" x14ac:dyDescent="0.45">
      <c r="A5" s="222" t="s">
        <v>188</v>
      </c>
      <c r="B5" s="83"/>
      <c r="C5" s="83"/>
      <c r="D5" s="84"/>
      <c r="E5" s="84"/>
      <c r="F5" s="84"/>
      <c r="G5" s="84"/>
      <c r="H5" s="83"/>
      <c r="I5" s="84"/>
      <c r="J5" s="84"/>
      <c r="K5" s="84"/>
      <c r="L5" s="84"/>
      <c r="M5" s="84"/>
      <c r="N5" s="187"/>
      <c r="O5" s="188"/>
      <c r="P5" s="184"/>
      <c r="Q5" s="185"/>
      <c r="R5" s="132"/>
      <c r="S5" s="204"/>
      <c r="T5" s="132"/>
      <c r="U5" s="204"/>
      <c r="V5" s="132"/>
    </row>
    <row r="6" spans="1:26" s="86" customFormat="1" x14ac:dyDescent="0.45">
      <c r="A6" s="221"/>
      <c r="B6" s="83"/>
      <c r="C6" s="83"/>
      <c r="D6" s="84"/>
      <c r="E6" s="84"/>
      <c r="F6" s="84"/>
      <c r="G6" s="84"/>
      <c r="H6" s="83"/>
      <c r="I6" s="84"/>
      <c r="J6" s="84"/>
      <c r="K6" s="84"/>
      <c r="L6" s="84"/>
      <c r="M6" s="84"/>
      <c r="N6" s="187"/>
      <c r="O6" s="188"/>
      <c r="P6" s="184"/>
      <c r="Q6" s="185"/>
      <c r="R6" s="132"/>
      <c r="S6" s="204"/>
      <c r="T6" s="132"/>
      <c r="U6" s="204"/>
      <c r="V6" s="132"/>
    </row>
    <row r="7" spans="1:26" s="86" customFormat="1" x14ac:dyDescent="0.45">
      <c r="A7" s="88" t="str">
        <f>"Group 1: (CPT) Permanent Employees ("&amp;TEXT(P2-100%,"##.0%")&amp;" increase)"</f>
        <v>Group 1: (CPT) Permanent Employees (2.5% increase)</v>
      </c>
      <c r="B7" s="83"/>
      <c r="C7" s="83"/>
      <c r="D7" s="84"/>
      <c r="E7" s="84"/>
      <c r="F7" s="84"/>
      <c r="G7" s="84"/>
      <c r="H7" s="83"/>
      <c r="I7" s="84"/>
      <c r="J7" s="84"/>
      <c r="K7" s="84"/>
      <c r="L7" s="84"/>
      <c r="M7" s="84"/>
      <c r="N7" s="187" t="s">
        <v>189</v>
      </c>
      <c r="O7" s="188"/>
      <c r="P7" s="219">
        <v>2</v>
      </c>
      <c r="Q7" s="185"/>
      <c r="R7" s="132"/>
      <c r="S7" s="204"/>
      <c r="T7" s="132"/>
      <c r="U7" s="204"/>
      <c r="V7" s="132"/>
    </row>
    <row r="8" spans="1:26" s="86" customFormat="1" ht="62.65" x14ac:dyDescent="0.45">
      <c r="A8" s="90" t="s">
        <v>31</v>
      </c>
      <c r="B8" s="91" t="s">
        <v>101</v>
      </c>
      <c r="C8" s="92" t="s">
        <v>102</v>
      </c>
      <c r="D8" s="91" t="s">
        <v>103</v>
      </c>
      <c r="E8" s="93" t="s">
        <v>12</v>
      </c>
      <c r="F8" s="93" t="s">
        <v>32</v>
      </c>
      <c r="G8" s="90" t="s">
        <v>104</v>
      </c>
      <c r="H8" s="90" t="s">
        <v>105</v>
      </c>
      <c r="I8" s="94"/>
      <c r="J8" s="94"/>
      <c r="K8" s="84"/>
      <c r="L8" s="84"/>
      <c r="M8" s="84"/>
      <c r="N8" s="189" t="s">
        <v>3</v>
      </c>
      <c r="O8" s="190" t="s">
        <v>190</v>
      </c>
      <c r="P8" s="191" t="s">
        <v>6</v>
      </c>
      <c r="Q8" s="192" t="s">
        <v>155</v>
      </c>
      <c r="R8" s="172" t="s">
        <v>3</v>
      </c>
      <c r="S8" s="179" t="s">
        <v>190</v>
      </c>
      <c r="T8" s="172" t="s">
        <v>191</v>
      </c>
      <c r="U8" s="176" t="s">
        <v>6</v>
      </c>
      <c r="V8" s="176" t="s">
        <v>155</v>
      </c>
    </row>
    <row r="9" spans="1:26" s="86" customFormat="1" x14ac:dyDescent="0.45">
      <c r="A9" s="83" t="s">
        <v>39</v>
      </c>
      <c r="B9" s="83" t="s">
        <v>19</v>
      </c>
      <c r="C9" s="84" t="s">
        <v>41</v>
      </c>
      <c r="D9" s="83">
        <v>293</v>
      </c>
      <c r="E9" s="83">
        <v>6</v>
      </c>
      <c r="F9" s="95" t="s">
        <v>22</v>
      </c>
      <c r="G9" s="83" t="s">
        <v>42</v>
      </c>
      <c r="H9" s="96">
        <f ca="1">Q9</f>
        <v>34.412324999999996</v>
      </c>
      <c r="I9" s="84"/>
      <c r="J9" s="84"/>
      <c r="K9" s="84"/>
      <c r="L9" s="84"/>
      <c r="M9" s="84"/>
      <c r="N9" s="187" t="str">
        <f>B9</f>
        <v>08310C</v>
      </c>
      <c r="O9" s="188" t="s">
        <v>192</v>
      </c>
      <c r="P9" s="193" t="s">
        <v>40</v>
      </c>
      <c r="Q9" s="194" cm="1">
        <f t="array" aca="1" ref="Q9" ca="1">IF(O9="Y",VLOOKUP(N9,INDIRECT(P$4),3,0)*INDIRECT(N$2),VLOOKUP(N9,INDIRECT(P$4),3,0))</f>
        <v>34.412324999999996</v>
      </c>
      <c r="R9" s="133" t="str">
        <f>N9</f>
        <v>08310C</v>
      </c>
      <c r="S9" s="175" t="str">
        <f>O9</f>
        <v>Y</v>
      </c>
      <c r="T9" s="133" t="str">
        <f>C9</f>
        <v>Production Technician I</v>
      </c>
      <c r="U9" s="205" t="str">
        <f>P9</f>
        <v>CPT 01</v>
      </c>
      <c r="V9" s="135">
        <f ca="1">ROUND(Q9,3)</f>
        <v>34.411999999999999</v>
      </c>
    </row>
    <row r="10" spans="1:26" s="86" customFormat="1" x14ac:dyDescent="0.45">
      <c r="A10" s="83" t="s">
        <v>39</v>
      </c>
      <c r="B10" s="83" t="s">
        <v>23</v>
      </c>
      <c r="C10" s="84" t="s">
        <v>44</v>
      </c>
      <c r="D10" s="83">
        <v>323</v>
      </c>
      <c r="E10" s="83">
        <v>7</v>
      </c>
      <c r="F10" s="95" t="s">
        <v>25</v>
      </c>
      <c r="G10" s="83" t="s">
        <v>42</v>
      </c>
      <c r="H10" s="96">
        <f ca="1">Q10</f>
        <v>38.314500000000002</v>
      </c>
      <c r="I10" s="84"/>
      <c r="J10" s="84"/>
      <c r="K10" s="84"/>
      <c r="L10" s="84"/>
      <c r="M10" s="84"/>
      <c r="N10" s="187" t="str">
        <f>B10</f>
        <v>08311C</v>
      </c>
      <c r="O10" s="188" t="s">
        <v>192</v>
      </c>
      <c r="P10" s="193" t="s">
        <v>148</v>
      </c>
      <c r="Q10" s="194" cm="1">
        <f t="array" aca="1" ref="Q10" ca="1">IF(O10="Y",VLOOKUP(N10,INDIRECT(P$4),3,0)*INDIRECT(N$2),VLOOKUP(N10,INDIRECT(P$4),3,0))</f>
        <v>38.314500000000002</v>
      </c>
      <c r="R10" s="133" t="str">
        <f t="shared" ref="R10:R12" si="0">N10</f>
        <v>08311C</v>
      </c>
      <c r="S10" s="175" t="str">
        <f t="shared" ref="S10:S12" si="1">O10</f>
        <v>Y</v>
      </c>
      <c r="T10" s="133" t="str">
        <f t="shared" ref="T10" si="2">C10</f>
        <v>Production Technician II</v>
      </c>
      <c r="U10" s="205" t="str">
        <f t="shared" ref="U10" si="3">P10</f>
        <v>CPT 02</v>
      </c>
      <c r="V10" s="135">
        <f t="shared" ref="V10:V12" ca="1" si="4">ROUND(Q10,3)</f>
        <v>38.314999999999998</v>
      </c>
    </row>
    <row r="11" spans="1:26" s="86" customFormat="1" ht="9" customHeight="1" x14ac:dyDescent="0.45">
      <c r="A11" s="84"/>
      <c r="B11" s="84"/>
      <c r="C11" s="84"/>
      <c r="D11" s="84"/>
      <c r="E11" s="84"/>
      <c r="F11" s="83"/>
      <c r="G11" s="83"/>
      <c r="H11" s="83"/>
      <c r="I11" s="96"/>
      <c r="J11" s="84"/>
      <c r="K11" s="84"/>
      <c r="L11" s="84"/>
      <c r="M11" s="84"/>
      <c r="N11" s="187"/>
      <c r="O11" s="188"/>
      <c r="P11" s="184"/>
      <c r="Q11" s="194"/>
      <c r="R11" s="133"/>
      <c r="S11" s="175"/>
      <c r="T11" s="133"/>
      <c r="U11" s="205"/>
      <c r="V11" s="135"/>
    </row>
    <row r="12" spans="1:26" s="86" customFormat="1" ht="12" customHeight="1" x14ac:dyDescent="0.45">
      <c r="A12" s="88" t="s">
        <v>193</v>
      </c>
      <c r="B12" s="88"/>
      <c r="C12" s="88"/>
      <c r="E12" s="84"/>
      <c r="F12" s="83"/>
      <c r="G12" s="83" t="s">
        <v>42</v>
      </c>
      <c r="H12" s="96">
        <f ca="1">Q12</f>
        <v>13.362924999999999</v>
      </c>
      <c r="J12" s="84"/>
      <c r="K12" s="84"/>
      <c r="L12" s="84"/>
      <c r="M12" s="84"/>
      <c r="N12" s="195" t="s">
        <v>106</v>
      </c>
      <c r="O12" s="196" t="s">
        <v>192</v>
      </c>
      <c r="P12" s="197" t="s">
        <v>107</v>
      </c>
      <c r="Q12" s="194" cm="1">
        <f t="array" aca="1" ref="Q12" ca="1">IF(O12="Y",VLOOKUP(N12,INDIRECT(P$4),3,0)*INDIRECT(N$2),VLOOKUP(N12,INDIRECT(P$4),3,0))</f>
        <v>13.362924999999999</v>
      </c>
      <c r="R12" s="133" t="str">
        <f t="shared" si="0"/>
        <v>CPTPMR</v>
      </c>
      <c r="S12" s="175" t="str">
        <f t="shared" si="1"/>
        <v>Y</v>
      </c>
      <c r="T12" s="133" t="str">
        <f>P12</f>
        <v>TL-Premium Rigger-CPT</v>
      </c>
      <c r="U12" s="205"/>
      <c r="V12" s="135">
        <f t="shared" ca="1" si="4"/>
        <v>13.363</v>
      </c>
    </row>
    <row r="13" spans="1:26" s="86" customFormat="1" ht="12" customHeight="1" x14ac:dyDescent="0.45">
      <c r="A13" s="83"/>
      <c r="B13" s="85" t="s">
        <v>194</v>
      </c>
      <c r="C13" s="83"/>
      <c r="E13" s="84"/>
      <c r="F13" s="84"/>
      <c r="G13" s="83"/>
      <c r="H13" s="97"/>
      <c r="I13" s="84"/>
      <c r="J13" s="84"/>
      <c r="K13" s="84"/>
      <c r="L13" s="84"/>
      <c r="M13" s="84"/>
      <c r="N13" s="187"/>
      <c r="O13" s="188"/>
      <c r="P13" s="184"/>
      <c r="Q13" s="185"/>
      <c r="R13" s="132"/>
      <c r="S13" s="204"/>
      <c r="T13" s="132"/>
      <c r="U13" s="204"/>
      <c r="V13" s="132"/>
    </row>
    <row r="14" spans="1:26" s="86" customFormat="1" ht="12" customHeight="1" x14ac:dyDescent="0.45">
      <c r="A14" s="83"/>
      <c r="B14" s="85" t="s">
        <v>47</v>
      </c>
      <c r="C14" s="83"/>
      <c r="D14" s="85"/>
      <c r="E14" s="84"/>
      <c r="F14" s="84"/>
      <c r="G14" s="83"/>
      <c r="H14" s="97"/>
      <c r="I14" s="84"/>
      <c r="J14" s="84"/>
      <c r="K14" s="84"/>
      <c r="L14" s="84"/>
      <c r="M14" s="84"/>
      <c r="N14" s="187"/>
      <c r="O14" s="188"/>
      <c r="P14" s="184"/>
      <c r="Q14" s="185"/>
      <c r="R14" s="132"/>
      <c r="S14" s="204"/>
      <c r="T14" s="132"/>
      <c r="U14" s="204"/>
      <c r="V14" s="132"/>
    </row>
    <row r="15" spans="1:26" s="86" customFormat="1" ht="12" customHeight="1" x14ac:dyDescent="0.45">
      <c r="A15" s="83"/>
      <c r="B15" s="85"/>
      <c r="C15" s="83"/>
      <c r="D15" s="85"/>
      <c r="E15" s="84"/>
      <c r="F15" s="84"/>
      <c r="G15" s="83"/>
      <c r="H15" s="97"/>
      <c r="I15" s="84"/>
      <c r="J15" s="84"/>
      <c r="K15" s="84"/>
      <c r="L15" s="84"/>
      <c r="M15" s="84"/>
      <c r="N15" s="187"/>
      <c r="O15" s="188"/>
      <c r="P15" s="184"/>
      <c r="Q15" s="185"/>
      <c r="R15" s="132"/>
      <c r="S15" s="204"/>
      <c r="T15" s="132"/>
      <c r="U15" s="204"/>
      <c r="V15" s="132"/>
    </row>
    <row r="16" spans="1:26" s="86" customFormat="1" x14ac:dyDescent="0.45">
      <c r="A16" s="99" t="s">
        <v>195</v>
      </c>
      <c r="B16" s="84"/>
      <c r="C16" s="83"/>
      <c r="E16" s="84"/>
      <c r="F16" s="84"/>
      <c r="G16" s="83" t="s">
        <v>42</v>
      </c>
      <c r="H16" s="216">
        <f ca="1">Q16</f>
        <v>15.362924999999999</v>
      </c>
      <c r="I16" s="84"/>
      <c r="J16" s="84"/>
      <c r="K16" s="84"/>
      <c r="L16" s="84"/>
      <c r="M16" s="84"/>
      <c r="N16" s="187" t="s">
        <v>196</v>
      </c>
      <c r="O16" s="188" t="s">
        <v>18</v>
      </c>
      <c r="P16" s="184" t="s">
        <v>197</v>
      </c>
      <c r="Q16" s="215">
        <f ca="1">Q12+P7</f>
        <v>15.362924999999999</v>
      </c>
      <c r="R16" s="133" t="str">
        <f>N16</f>
        <v>CPTLRG</v>
      </c>
      <c r="S16" s="175" t="str">
        <f>O16</f>
        <v>N</v>
      </c>
      <c r="T16" s="133" t="str">
        <f>P16</f>
        <v>TL-ETCP Premium Rigger-CPT</v>
      </c>
      <c r="U16" s="175"/>
      <c r="V16" s="217">
        <f ca="1">Q16</f>
        <v>15.362924999999999</v>
      </c>
    </row>
    <row r="17" spans="1:22" s="86" customFormat="1" x14ac:dyDescent="0.45">
      <c r="A17" s="84"/>
      <c r="B17" s="85" t="s">
        <v>198</v>
      </c>
      <c r="C17" s="83"/>
      <c r="E17" s="84"/>
      <c r="F17" s="84"/>
      <c r="G17" s="84"/>
      <c r="H17" s="83"/>
      <c r="I17" s="84"/>
      <c r="J17" s="84"/>
      <c r="K17" s="84"/>
      <c r="L17" s="84"/>
      <c r="M17" s="84"/>
      <c r="N17" s="187"/>
      <c r="O17" s="188"/>
      <c r="P17" s="184"/>
      <c r="Q17" s="185"/>
      <c r="R17" s="132"/>
      <c r="S17" s="204"/>
      <c r="T17" s="132"/>
      <c r="U17" s="204"/>
      <c r="V17" s="132"/>
    </row>
    <row r="18" spans="1:22" s="86" customFormat="1" x14ac:dyDescent="0.45">
      <c r="A18" s="84"/>
      <c r="B18" s="85" t="s">
        <v>199</v>
      </c>
      <c r="C18" s="83"/>
      <c r="D18" s="85"/>
      <c r="E18" s="84"/>
      <c r="F18" s="84"/>
      <c r="G18" s="84"/>
      <c r="H18" s="83"/>
      <c r="I18" s="84"/>
      <c r="J18" s="84"/>
      <c r="K18" s="84"/>
      <c r="L18" s="84"/>
      <c r="M18" s="84"/>
      <c r="N18" s="187"/>
      <c r="O18" s="188"/>
      <c r="P18" s="184"/>
      <c r="Q18" s="185"/>
      <c r="R18" s="132"/>
      <c r="S18" s="204"/>
      <c r="T18" s="132"/>
      <c r="U18" s="204"/>
      <c r="V18" s="132"/>
    </row>
    <row r="19" spans="1:22" s="86" customFormat="1" x14ac:dyDescent="0.45">
      <c r="A19" s="84"/>
      <c r="C19" s="83"/>
      <c r="D19" s="84"/>
      <c r="E19" s="84"/>
      <c r="F19" s="84"/>
      <c r="G19" s="84"/>
      <c r="H19" s="83" t="s">
        <v>48</v>
      </c>
      <c r="I19" s="84"/>
      <c r="J19" s="84"/>
      <c r="K19" s="84"/>
      <c r="L19" s="84"/>
      <c r="M19" s="84"/>
      <c r="N19" s="187"/>
      <c r="O19" s="188"/>
      <c r="P19" s="184"/>
      <c r="Q19" s="185"/>
      <c r="R19" s="132"/>
      <c r="S19" s="204"/>
      <c r="T19" s="132"/>
      <c r="U19" s="204"/>
      <c r="V19" s="132"/>
    </row>
    <row r="20" spans="1:22" s="86" customFormat="1" ht="12" customHeight="1" x14ac:dyDescent="0.45">
      <c r="A20" s="99" t="s">
        <v>49</v>
      </c>
      <c r="B20" s="85"/>
      <c r="C20" s="83"/>
      <c r="D20" s="84"/>
      <c r="E20" s="84"/>
      <c r="F20" s="84"/>
      <c r="G20" s="84"/>
      <c r="H20" s="83"/>
      <c r="I20" s="84"/>
      <c r="J20" s="84"/>
      <c r="K20" s="84"/>
      <c r="L20" s="84"/>
      <c r="M20" s="84"/>
      <c r="N20" s="187"/>
      <c r="O20" s="188"/>
      <c r="P20" s="184"/>
      <c r="Q20" s="185"/>
      <c r="R20" s="132"/>
      <c r="S20" s="204"/>
      <c r="T20" s="132"/>
      <c r="U20" s="204"/>
      <c r="V20" s="132"/>
    </row>
    <row r="21" spans="1:22" s="86" customFormat="1" ht="12" customHeight="1" x14ac:dyDescent="0.45">
      <c r="A21" s="100" t="str">
        <f ca="1">"A "&amp;TEXT(Q21,"$#.000")&amp;" per hour shift differential be paid for shifts that start between the hours of 5:00 p.m. and 4:00 a.m."</f>
        <v>A $2.129 per hour shift differential be paid for shifts that start between the hours of 5:00 p.m. and 4:00 a.m.</v>
      </c>
      <c r="B21" s="100"/>
      <c r="C21" s="100"/>
      <c r="D21" s="100"/>
      <c r="E21" s="100"/>
      <c r="F21" s="100"/>
      <c r="G21" s="100"/>
      <c r="H21" s="100"/>
      <c r="I21" s="100"/>
      <c r="J21" s="100"/>
      <c r="K21" s="101"/>
      <c r="L21" s="102"/>
      <c r="M21" s="84"/>
      <c r="N21" s="195" t="s">
        <v>108</v>
      </c>
      <c r="O21" s="196" t="s">
        <v>192</v>
      </c>
      <c r="P21" s="197" t="s">
        <v>109</v>
      </c>
      <c r="Q21" s="194" cm="1">
        <f t="array" aca="1" ref="Q21" ca="1">IF(O21="Y",VLOOKUP(N21,INDIRECT(P$4),3,0)*INDIRECT(N$2),VLOOKUP(N21,INDIRECT(P$4),3,0))</f>
        <v>2.1289249999999997</v>
      </c>
      <c r="R21" s="133" t="str">
        <f t="shared" ref="R21" si="5">N21</f>
        <v>CPTEVE</v>
      </c>
      <c r="S21" s="175" t="str">
        <f t="shared" ref="S21" si="6">O21</f>
        <v>Y</v>
      </c>
      <c r="T21" s="133" t="str">
        <f>P21</f>
        <v>TL-Evening Shift Premium-CPT</v>
      </c>
      <c r="U21" s="205"/>
      <c r="V21" s="135">
        <f t="shared" ref="V21" ca="1" si="7">ROUND(Q21,3)</f>
        <v>2.129</v>
      </c>
    </row>
    <row r="22" spans="1:22" s="86" customFormat="1" ht="12" customHeight="1" x14ac:dyDescent="0.45">
      <c r="A22" s="84"/>
      <c r="B22" s="85"/>
      <c r="C22" s="96"/>
      <c r="D22" s="84"/>
      <c r="E22" s="84"/>
      <c r="F22" s="84"/>
      <c r="G22" s="84"/>
      <c r="H22" s="83"/>
      <c r="I22" s="84"/>
      <c r="J22" s="84"/>
      <c r="K22" s="101"/>
      <c r="L22" s="102"/>
      <c r="M22" s="84"/>
      <c r="N22" s="187"/>
      <c r="O22" s="188"/>
      <c r="P22" s="184"/>
      <c r="Q22" s="185"/>
      <c r="R22" s="132"/>
      <c r="S22" s="204"/>
      <c r="T22" s="132"/>
      <c r="U22" s="204"/>
      <c r="V22" s="132"/>
    </row>
    <row r="23" spans="1:22" s="86" customFormat="1" x14ac:dyDescent="0.45">
      <c r="A23" s="100" t="str">
        <f ca="1">"A "&amp;TEXT(Q23,"$#.000")&amp;" per hour shift differential be paid for shifts that start between the hours of 5:00 a.m. and 6:00 a.m., "</f>
        <v xml:space="preserve">A $1.099 per hour shift differential be paid for shifts that start between the hours of 5:00 a.m. and 6:00 a.m., </v>
      </c>
      <c r="B23" s="100"/>
      <c r="C23" s="100"/>
      <c r="D23" s="100"/>
      <c r="E23" s="100"/>
      <c r="F23" s="100"/>
      <c r="G23" s="100"/>
      <c r="H23" s="100"/>
      <c r="I23" s="100"/>
      <c r="J23" s="100"/>
      <c r="K23" s="101"/>
      <c r="L23" s="102"/>
      <c r="M23" s="84"/>
      <c r="N23" s="195" t="s">
        <v>110</v>
      </c>
      <c r="O23" s="196" t="s">
        <v>192</v>
      </c>
      <c r="P23" s="197" t="s">
        <v>111</v>
      </c>
      <c r="Q23" s="194" cm="1">
        <f t="array" aca="1" ref="Q23" ca="1">IF(O23="Y",VLOOKUP(N23,INDIRECT(P$4),3,0)*INDIRECT(N$2),VLOOKUP(N23,INDIRECT(P$4),3,0))</f>
        <v>1.0988</v>
      </c>
      <c r="R23" s="133" t="str">
        <f t="shared" ref="R23:R24" si="8">N23</f>
        <v>CPTAM1</v>
      </c>
      <c r="S23" s="175" t="str">
        <f t="shared" ref="S23:S24" si="9">O23</f>
        <v>Y</v>
      </c>
      <c r="T23" s="133" t="str">
        <f t="shared" ref="T23:T24" si="10">P23</f>
        <v>TL-Morning Shift Premium CPT</v>
      </c>
      <c r="U23" s="205"/>
      <c r="V23" s="135">
        <f t="shared" ref="V23:V24" ca="1" si="11">ROUND(Q23,3)</f>
        <v>1.099</v>
      </c>
    </row>
    <row r="24" spans="1:22" s="103" customFormat="1" ht="15" customHeight="1" x14ac:dyDescent="0.45">
      <c r="A24" s="103" t="s">
        <v>112</v>
      </c>
      <c r="N24" s="195" t="s">
        <v>113</v>
      </c>
      <c r="O24" s="196" t="s">
        <v>192</v>
      </c>
      <c r="P24" s="197" t="s">
        <v>107</v>
      </c>
      <c r="Q24" s="194" cm="1">
        <f t="array" aca="1" ref="Q24" ca="1">IF(O24="Y",VLOOKUP(N24,INDIRECT(P$4),3,0)*INDIRECT(N$2),VLOOKUP(N24,INDIRECT(P$4),3,0))</f>
        <v>1.0988</v>
      </c>
      <c r="R24" s="133" t="str">
        <f t="shared" si="8"/>
        <v>CPTNIT</v>
      </c>
      <c r="S24" s="175" t="str">
        <f t="shared" si="9"/>
        <v>Y</v>
      </c>
      <c r="T24" s="133" t="str">
        <f t="shared" si="10"/>
        <v>TL-Premium Rigger-CPT</v>
      </c>
      <c r="U24" s="205"/>
      <c r="V24" s="135">
        <f t="shared" ca="1" si="11"/>
        <v>1.099</v>
      </c>
    </row>
    <row r="25" spans="1:22" s="103" customFormat="1" ht="15" customHeight="1" x14ac:dyDescent="0.45">
      <c r="N25" s="184"/>
      <c r="O25" s="185"/>
      <c r="P25" s="184"/>
      <c r="Q25" s="185"/>
      <c r="R25" s="133"/>
      <c r="S25" s="175"/>
      <c r="T25" s="133"/>
      <c r="U25" s="175"/>
      <c r="V25" s="133"/>
    </row>
    <row r="26" spans="1:22" s="86" customFormat="1" ht="12" customHeight="1" x14ac:dyDescent="0.45">
      <c r="A26" s="99" t="s">
        <v>85</v>
      </c>
      <c r="B26" s="84"/>
      <c r="C26" s="96"/>
      <c r="D26" s="84"/>
      <c r="E26" s="84"/>
      <c r="F26" s="84"/>
      <c r="G26" s="84"/>
      <c r="H26" s="83"/>
      <c r="I26" s="84"/>
      <c r="J26" s="84"/>
      <c r="K26" s="101"/>
      <c r="L26" s="84"/>
      <c r="M26" s="84"/>
      <c r="N26" s="187"/>
      <c r="O26" s="188"/>
      <c r="P26" s="184"/>
      <c r="Q26" s="185"/>
      <c r="R26" s="132"/>
      <c r="S26" s="204"/>
      <c r="T26" s="132"/>
      <c r="U26" s="204"/>
      <c r="V26" s="132"/>
    </row>
    <row r="27" spans="1:22" s="86" customFormat="1" ht="18.75" customHeight="1" x14ac:dyDescent="0.45">
      <c r="A27" s="100" t="str">
        <f ca="1">"A "&amp;TEXT(Q27,"$#.000")&amp;" per hour premium be paid for each hour worked as an employer-designated Lead Worker."</f>
        <v>A $1.420 per hour premium be paid for each hour worked as an employer-designated Lead Worker.</v>
      </c>
      <c r="B27" s="100"/>
      <c r="C27" s="100"/>
      <c r="D27" s="100"/>
      <c r="E27" s="100"/>
      <c r="F27" s="100"/>
      <c r="G27" s="100"/>
      <c r="H27" s="100"/>
      <c r="I27" s="100"/>
      <c r="J27" s="100"/>
      <c r="K27" s="101"/>
      <c r="L27" s="102"/>
      <c r="M27" s="84"/>
      <c r="N27" s="195" t="s">
        <v>114</v>
      </c>
      <c r="O27" s="196" t="s">
        <v>192</v>
      </c>
      <c r="P27" s="197" t="s">
        <v>115</v>
      </c>
      <c r="Q27" s="194" cm="1">
        <f t="array" aca="1" ref="Q27" ca="1">IF(O27="Y",VLOOKUP(N27,INDIRECT(P$4),3,0)*INDIRECT(N$2),VLOOKUP(N27,INDIRECT(P$4),3,0))</f>
        <v>1.4196249999999999</v>
      </c>
      <c r="R27" s="133" t="str">
        <f t="shared" ref="R27" si="12">N27</f>
        <v>CPTLDS</v>
      </c>
      <c r="S27" s="175" t="str">
        <f t="shared" ref="S27" si="13">O27</f>
        <v>Y</v>
      </c>
      <c r="T27" s="133" t="str">
        <f>P27</f>
        <v>TL-Lead Prem (Substitute)-CPT</v>
      </c>
      <c r="U27" s="205"/>
      <c r="V27" s="135">
        <f t="shared" ref="V27" ca="1" si="14">ROUND(Q27,3)</f>
        <v>1.42</v>
      </c>
    </row>
    <row r="28" spans="1:22" s="86" customFormat="1" ht="12" customHeight="1" x14ac:dyDescent="0.45">
      <c r="A28" s="85"/>
      <c r="B28" s="85"/>
      <c r="C28" s="96"/>
      <c r="D28" s="84"/>
      <c r="E28" s="84"/>
      <c r="F28" s="84"/>
      <c r="G28" s="84"/>
      <c r="H28" s="83"/>
      <c r="I28" s="84"/>
      <c r="J28" s="84"/>
      <c r="K28" s="101"/>
      <c r="L28" s="84"/>
      <c r="M28" s="84"/>
      <c r="N28" s="187"/>
      <c r="O28" s="188"/>
      <c r="P28" s="184"/>
      <c r="Q28" s="185"/>
      <c r="R28" s="132"/>
      <c r="S28" s="204"/>
      <c r="T28" s="132"/>
      <c r="U28" s="204"/>
      <c r="V28" s="132"/>
    </row>
    <row r="29" spans="1:22" s="86" customFormat="1" ht="17.25" customHeight="1" x14ac:dyDescent="0.45">
      <c r="A29" s="104" t="s">
        <v>55</v>
      </c>
      <c r="B29" s="104"/>
      <c r="C29" s="104"/>
      <c r="D29" s="104"/>
      <c r="E29" s="104"/>
      <c r="F29" s="104"/>
      <c r="G29" s="104"/>
      <c r="H29" s="104"/>
      <c r="I29" s="104"/>
      <c r="J29" s="104"/>
      <c r="K29" s="101"/>
      <c r="L29" s="84"/>
      <c r="M29" s="84"/>
      <c r="N29" s="187"/>
      <c r="O29" s="188"/>
      <c r="P29" s="184"/>
      <c r="Q29" s="185"/>
      <c r="R29" s="132"/>
      <c r="S29" s="204"/>
      <c r="T29" s="132"/>
      <c r="U29" s="204"/>
      <c r="V29" s="132"/>
    </row>
    <row r="30" spans="1:22" s="86" customFormat="1" ht="16.5" customHeight="1" x14ac:dyDescent="0.45">
      <c r="A30" s="100" t="s">
        <v>56</v>
      </c>
      <c r="B30" s="100"/>
      <c r="C30" s="100"/>
      <c r="D30" s="100"/>
      <c r="E30" s="100"/>
      <c r="F30" s="100"/>
      <c r="G30" s="100"/>
      <c r="H30" s="100"/>
      <c r="I30" s="100"/>
      <c r="J30" s="100"/>
      <c r="K30" s="101"/>
      <c r="L30" s="84"/>
      <c r="M30" s="84"/>
      <c r="N30" s="189" t="s">
        <v>116</v>
      </c>
      <c r="O30" s="190" t="s">
        <v>190</v>
      </c>
      <c r="P30" s="191"/>
      <c r="Q30" s="192" t="s">
        <v>155</v>
      </c>
      <c r="R30" s="172" t="s">
        <v>116</v>
      </c>
      <c r="S30" s="179" t="s">
        <v>190</v>
      </c>
      <c r="T30" s="173"/>
      <c r="U30" s="132"/>
      <c r="V30" s="176" t="s">
        <v>155</v>
      </c>
    </row>
    <row r="31" spans="1:22" s="86" customFormat="1" ht="16.5" customHeight="1" x14ac:dyDescent="0.45">
      <c r="A31" s="84"/>
      <c r="B31" s="96">
        <f ca="1">Q31</f>
        <v>0.16092499999999998</v>
      </c>
      <c r="C31" s="85" t="s">
        <v>57</v>
      </c>
      <c r="D31" s="85"/>
      <c r="E31" s="85"/>
      <c r="F31" s="85"/>
      <c r="G31" s="85"/>
      <c r="H31" s="85"/>
      <c r="I31" s="85"/>
      <c r="J31" s="85"/>
      <c r="K31" s="101"/>
      <c r="L31" s="84"/>
      <c r="M31" s="84"/>
      <c r="N31" s="187" t="s">
        <v>117</v>
      </c>
      <c r="O31" s="188" t="s">
        <v>192</v>
      </c>
      <c r="P31" s="184"/>
      <c r="Q31" s="194" cm="1">
        <f t="array" aca="1" ref="Q31" ca="1">IF(O31="Y",VLOOKUP(N31,INDIRECT(P$4),3,0)*INDIRECT(N$2),VLOOKUP(N31,INDIRECT(P$4),3,0))</f>
        <v>0.16092499999999998</v>
      </c>
      <c r="R31" s="133" t="str">
        <f t="shared" ref="R31" si="15">N31</f>
        <v>10th Year</v>
      </c>
      <c r="S31" s="175" t="str">
        <f t="shared" ref="S31" si="16">O31</f>
        <v>Y</v>
      </c>
      <c r="T31" s="133"/>
      <c r="U31" s="205"/>
      <c r="V31" s="135">
        <f t="shared" ref="V31" ca="1" si="17">ROUND(Q31,3)</f>
        <v>0.161</v>
      </c>
    </row>
    <row r="32" spans="1:22" s="86" customFormat="1" ht="16.5" customHeight="1" x14ac:dyDescent="0.45">
      <c r="A32" s="84"/>
      <c r="B32" s="96">
        <f t="shared" ref="B32:B34" ca="1" si="18">Q32</f>
        <v>0.35874999999999996</v>
      </c>
      <c r="C32" s="100" t="s">
        <v>58</v>
      </c>
      <c r="D32" s="100"/>
      <c r="E32" s="100"/>
      <c r="F32" s="100"/>
      <c r="G32" s="100"/>
      <c r="H32" s="100"/>
      <c r="I32" s="100"/>
      <c r="J32" s="100"/>
      <c r="K32" s="101"/>
      <c r="L32" s="84"/>
      <c r="M32" s="84"/>
      <c r="N32" s="187" t="s">
        <v>118</v>
      </c>
      <c r="O32" s="188" t="s">
        <v>192</v>
      </c>
      <c r="P32" s="184"/>
      <c r="Q32" s="194" cm="1">
        <f t="array" aca="1" ref="Q32" ca="1">IF(O32="Y",VLOOKUP(N32,INDIRECT(P$4),3,0)*INDIRECT(N$2),VLOOKUP(N32,INDIRECT(P$4),3,0))</f>
        <v>0.35874999999999996</v>
      </c>
      <c r="R32" s="133" t="str">
        <f t="shared" ref="R32:R34" si="19">N32</f>
        <v>15th Year</v>
      </c>
      <c r="S32" s="175" t="str">
        <f t="shared" ref="S32:S34" si="20">O32</f>
        <v>Y</v>
      </c>
      <c r="T32" s="133"/>
      <c r="U32" s="205"/>
      <c r="V32" s="135">
        <f t="shared" ref="V32:V34" ca="1" si="21">ROUND(Q32,3)</f>
        <v>0.35899999999999999</v>
      </c>
    </row>
    <row r="33" spans="1:25" s="86" customFormat="1" ht="16.5" customHeight="1" x14ac:dyDescent="0.45">
      <c r="A33" s="84"/>
      <c r="B33" s="96">
        <f t="shared" ca="1" si="18"/>
        <v>0.43664999999999993</v>
      </c>
      <c r="C33" s="100" t="s">
        <v>59</v>
      </c>
      <c r="D33" s="100"/>
      <c r="E33" s="100"/>
      <c r="F33" s="100"/>
      <c r="G33" s="100"/>
      <c r="H33" s="100"/>
      <c r="I33" s="100"/>
      <c r="J33" s="100"/>
      <c r="K33" s="101"/>
      <c r="L33" s="84"/>
      <c r="M33" s="84"/>
      <c r="N33" s="187" t="s">
        <v>119</v>
      </c>
      <c r="O33" s="188" t="s">
        <v>192</v>
      </c>
      <c r="P33" s="184"/>
      <c r="Q33" s="194" cm="1">
        <f t="array" aca="1" ref="Q33" ca="1">IF(O33="Y",VLOOKUP(N33,INDIRECT(P$4),3,0)*INDIRECT(N$2),VLOOKUP(N33,INDIRECT(P$4),3,0))</f>
        <v>0.43664999999999993</v>
      </c>
      <c r="R33" s="133" t="str">
        <f t="shared" si="19"/>
        <v>20th Year</v>
      </c>
      <c r="S33" s="175" t="str">
        <f t="shared" si="20"/>
        <v>Y</v>
      </c>
      <c r="T33" s="133"/>
      <c r="U33" s="205"/>
      <c r="V33" s="135">
        <f t="shared" ca="1" si="21"/>
        <v>0.437</v>
      </c>
    </row>
    <row r="34" spans="1:25" s="86" customFormat="1" ht="16.5" customHeight="1" x14ac:dyDescent="0.45">
      <c r="A34" s="84"/>
      <c r="B34" s="96">
        <f t="shared" ca="1" si="18"/>
        <v>0.76054999999999995</v>
      </c>
      <c r="C34" s="100" t="s">
        <v>60</v>
      </c>
      <c r="D34" s="100"/>
      <c r="E34" s="100"/>
      <c r="F34" s="100"/>
      <c r="G34" s="100"/>
      <c r="H34" s="100"/>
      <c r="I34" s="100"/>
      <c r="J34" s="100"/>
      <c r="K34" s="101"/>
      <c r="L34" s="84"/>
      <c r="M34" s="84"/>
      <c r="N34" s="187" t="s">
        <v>120</v>
      </c>
      <c r="O34" s="188" t="s">
        <v>192</v>
      </c>
      <c r="P34" s="184"/>
      <c r="Q34" s="194" cm="1">
        <f t="array" aca="1" ref="Q34" ca="1">IF(O34="Y",VLOOKUP(N34,INDIRECT(P$4),3,0)*INDIRECT(N$2),VLOOKUP(N34,INDIRECT(P$4),3,0))</f>
        <v>0.76054999999999995</v>
      </c>
      <c r="R34" s="133" t="str">
        <f t="shared" si="19"/>
        <v>25th Year</v>
      </c>
      <c r="S34" s="175" t="str">
        <f t="shared" si="20"/>
        <v>Y</v>
      </c>
      <c r="T34" s="133"/>
      <c r="U34" s="205"/>
      <c r="V34" s="135">
        <f t="shared" ca="1" si="21"/>
        <v>0.76100000000000001</v>
      </c>
    </row>
    <row r="35" spans="1:25" s="86" customFormat="1" ht="10.5" customHeight="1" thickBot="1" x14ac:dyDescent="0.5">
      <c r="A35" s="168"/>
      <c r="B35" s="169"/>
      <c r="C35" s="170"/>
      <c r="D35" s="170"/>
      <c r="E35" s="168"/>
      <c r="F35" s="168"/>
      <c r="G35" s="168"/>
      <c r="H35" s="170"/>
      <c r="I35" s="168"/>
      <c r="J35" s="168"/>
      <c r="K35" s="101"/>
      <c r="L35" s="84"/>
      <c r="M35" s="84"/>
      <c r="N35" s="187"/>
      <c r="O35" s="188"/>
      <c r="P35" s="184"/>
      <c r="Q35" s="185"/>
      <c r="R35" s="132"/>
      <c r="S35" s="204"/>
      <c r="T35" s="132"/>
      <c r="U35" s="204"/>
      <c r="V35" s="132"/>
    </row>
    <row r="36" spans="1:25" s="86" customFormat="1" ht="20.25" customHeight="1" x14ac:dyDescent="0.45">
      <c r="A36" s="99" t="str">
        <f>"Group 2: (CST) Temporary Employees ("&amp;TEXT(P3-100%,"##.0%")&amp;" increase)"</f>
        <v>Group 2: (CST) Temporary Employees (2.0% increase)</v>
      </c>
      <c r="B36" s="101"/>
      <c r="C36" s="107"/>
      <c r="D36" s="107"/>
      <c r="E36" s="101"/>
      <c r="F36" s="101"/>
      <c r="G36" s="101"/>
      <c r="H36" s="107"/>
      <c r="I36" s="101"/>
      <c r="J36" s="101"/>
      <c r="K36" s="101"/>
      <c r="L36" s="84"/>
      <c r="M36" s="84"/>
      <c r="N36" s="187"/>
      <c r="O36" s="188"/>
      <c r="P36" s="184"/>
      <c r="Q36" s="185"/>
      <c r="R36" s="132"/>
      <c r="S36" s="204"/>
      <c r="T36" s="132"/>
      <c r="U36" s="204"/>
      <c r="V36" s="132"/>
    </row>
    <row r="37" spans="1:25" s="86" customFormat="1" ht="62.65" x14ac:dyDescent="0.45">
      <c r="A37" s="91" t="s">
        <v>2</v>
      </c>
      <c r="B37" s="91" t="s">
        <v>101</v>
      </c>
      <c r="C37" s="92" t="s">
        <v>102</v>
      </c>
      <c r="D37" s="91" t="s">
        <v>103</v>
      </c>
      <c r="E37" s="93" t="s">
        <v>12</v>
      </c>
      <c r="F37" s="93" t="s">
        <v>32</v>
      </c>
      <c r="G37" s="90" t="s">
        <v>104</v>
      </c>
      <c r="H37" s="91" t="s">
        <v>62</v>
      </c>
      <c r="I37" s="108" t="s">
        <v>63</v>
      </c>
      <c r="J37" s="94"/>
      <c r="K37" s="109"/>
      <c r="L37" s="101"/>
      <c r="M37" s="84"/>
      <c r="N37" s="189" t="s">
        <v>3</v>
      </c>
      <c r="O37" s="190" t="s">
        <v>190</v>
      </c>
      <c r="P37" s="191" t="s">
        <v>6</v>
      </c>
      <c r="Q37" s="192" t="s">
        <v>155</v>
      </c>
      <c r="R37" s="172" t="s">
        <v>3</v>
      </c>
      <c r="S37" s="179" t="s">
        <v>190</v>
      </c>
      <c r="T37" s="173" t="s">
        <v>6</v>
      </c>
      <c r="U37" s="132"/>
      <c r="V37" s="176" t="s">
        <v>155</v>
      </c>
      <c r="W37" s="111"/>
      <c r="X37" s="113"/>
      <c r="Y37" s="114"/>
    </row>
    <row r="38" spans="1:25" s="86" customFormat="1" x14ac:dyDescent="0.45">
      <c r="A38" s="83" t="s">
        <v>39</v>
      </c>
      <c r="B38" s="83" t="s">
        <v>65</v>
      </c>
      <c r="C38" s="85" t="s">
        <v>66</v>
      </c>
      <c r="D38" s="83">
        <v>248</v>
      </c>
      <c r="E38" s="83">
        <v>5</v>
      </c>
      <c r="F38" s="95" t="s">
        <v>22</v>
      </c>
      <c r="G38" s="83" t="s">
        <v>42</v>
      </c>
      <c r="H38" s="96" t="s">
        <v>67</v>
      </c>
      <c r="I38" s="96">
        <f ca="1">Q38</f>
        <v>26.983080000000001</v>
      </c>
      <c r="J38" s="84"/>
      <c r="K38" s="84"/>
      <c r="L38" s="84"/>
      <c r="M38" s="84"/>
      <c r="N38" s="184" t="str">
        <f>B38</f>
        <v>09300C</v>
      </c>
      <c r="O38" s="185" t="s">
        <v>192</v>
      </c>
      <c r="P38" s="198" t="s">
        <v>64</v>
      </c>
      <c r="Q38" s="194" cm="1">
        <f t="array" aca="1" ref="Q38" ca="1">IF(O38="Y",VLOOKUP(N38,INDIRECT(P$4),3,0)*INDIRECT(N$3),VLOOKUP(N38,INDIRECT(P$4),3,0))</f>
        <v>26.983080000000001</v>
      </c>
      <c r="R38" s="133" t="str">
        <f t="shared" ref="R38:R41" si="22">N38</f>
        <v>09300C</v>
      </c>
      <c r="S38" s="175" t="str">
        <f t="shared" ref="S38:S41" si="23">O38</f>
        <v>Y</v>
      </c>
      <c r="T38" s="133"/>
      <c r="U38" s="205"/>
      <c r="V38" s="135">
        <f t="shared" ref="V38:V41" ca="1" si="24">ROUND(Q38,3)</f>
        <v>26.983000000000001</v>
      </c>
      <c r="W38" s="120"/>
      <c r="X38" s="120"/>
      <c r="Y38" s="119"/>
    </row>
    <row r="39" spans="1:25" s="86" customFormat="1" ht="15" customHeight="1" x14ac:dyDescent="0.45">
      <c r="A39" s="83"/>
      <c r="B39" s="83" t="s">
        <v>62</v>
      </c>
      <c r="C39" s="85" t="s">
        <v>68</v>
      </c>
      <c r="D39" s="84"/>
      <c r="E39" s="84"/>
      <c r="F39" s="84"/>
      <c r="G39" s="83" t="s">
        <v>42</v>
      </c>
      <c r="H39" s="96">
        <f ca="1">Q70</f>
        <v>1.8360000000000007</v>
      </c>
      <c r="I39" s="96">
        <f ca="1">Q39</f>
        <v>28.819080000000003</v>
      </c>
      <c r="J39" s="84"/>
      <c r="K39" s="84"/>
      <c r="L39" s="84"/>
      <c r="M39" s="84"/>
      <c r="N39" s="199" t="s">
        <v>149</v>
      </c>
      <c r="O39" s="200" t="s">
        <v>192</v>
      </c>
      <c r="P39" s="198"/>
      <c r="Q39" s="194" cm="1">
        <f t="array" aca="1" ref="Q39" ca="1">IF(O39="Y",VLOOKUP(N39,INDIRECT(P$4),3,0)*INDIRECT(N$3),VLOOKUP(N39,INDIRECT(P$4),3,0))</f>
        <v>28.819080000000003</v>
      </c>
      <c r="R39" s="133" t="str">
        <f t="shared" si="22"/>
        <v>Step 2</v>
      </c>
      <c r="S39" s="175" t="str">
        <f t="shared" si="23"/>
        <v>Y</v>
      </c>
      <c r="T39" s="133"/>
      <c r="U39" s="205"/>
      <c r="V39" s="135">
        <f t="shared" ca="1" si="24"/>
        <v>28.818999999999999</v>
      </c>
      <c r="W39" s="120"/>
      <c r="X39" s="120"/>
      <c r="Y39" s="119"/>
    </row>
    <row r="40" spans="1:25" s="86" customFormat="1" x14ac:dyDescent="0.45">
      <c r="A40" s="83"/>
      <c r="B40" s="83" t="s">
        <v>62</v>
      </c>
      <c r="C40" s="85" t="s">
        <v>69</v>
      </c>
      <c r="D40" s="84"/>
      <c r="E40" s="84"/>
      <c r="F40" s="84"/>
      <c r="G40" s="83" t="s">
        <v>42</v>
      </c>
      <c r="H40" s="96">
        <f ca="1">Q68</f>
        <v>6.7554599999999976</v>
      </c>
      <c r="I40" s="96">
        <f ca="1">Q40</f>
        <v>33.73854</v>
      </c>
      <c r="J40" s="84"/>
      <c r="K40" s="84"/>
      <c r="L40" s="84"/>
      <c r="M40" s="84"/>
      <c r="N40" s="199" t="s">
        <v>150</v>
      </c>
      <c r="O40" s="200" t="s">
        <v>192</v>
      </c>
      <c r="P40" s="198"/>
      <c r="Q40" s="194" cm="1">
        <f t="array" aca="1" ref="Q40" ca="1">IF(O40="Y",VLOOKUP(N40,INDIRECT(P$4),3,0)*INDIRECT(N$3),VLOOKUP(N40,INDIRECT(P$4),3,0))</f>
        <v>33.73854</v>
      </c>
      <c r="R40" s="133" t="str">
        <f t="shared" si="22"/>
        <v>Step 3</v>
      </c>
      <c r="S40" s="175" t="str">
        <f t="shared" si="23"/>
        <v>Y</v>
      </c>
      <c r="T40" s="133"/>
      <c r="U40" s="205"/>
      <c r="V40" s="135">
        <f t="shared" ca="1" si="24"/>
        <v>33.738999999999997</v>
      </c>
      <c r="W40" s="125"/>
      <c r="X40" s="125"/>
    </row>
    <row r="41" spans="1:25" s="86" customFormat="1" x14ac:dyDescent="0.45">
      <c r="A41" s="83"/>
      <c r="B41" s="83" t="s">
        <v>62</v>
      </c>
      <c r="C41" s="85" t="s">
        <v>70</v>
      </c>
      <c r="D41" s="84"/>
      <c r="E41" s="84"/>
      <c r="F41" s="84"/>
      <c r="G41" s="83" t="s">
        <v>42</v>
      </c>
      <c r="H41" s="96">
        <f ca="1">Q65</f>
        <v>16.792260000000002</v>
      </c>
      <c r="I41" s="96">
        <f ca="1">Q41</f>
        <v>43.77534</v>
      </c>
      <c r="J41" s="171"/>
      <c r="K41" s="84"/>
      <c r="L41" s="84"/>
      <c r="M41" s="84"/>
      <c r="N41" s="187" t="s">
        <v>151</v>
      </c>
      <c r="O41" s="185" t="s">
        <v>192</v>
      </c>
      <c r="P41" s="198"/>
      <c r="Q41" s="194" cm="1">
        <f t="array" aca="1" ref="Q41" ca="1">IF(O41="Y",VLOOKUP(N41,INDIRECT(P$4),3,0)*INDIRECT(N$3),VLOOKUP(N41,INDIRECT(P$4),3,0))</f>
        <v>43.77534</v>
      </c>
      <c r="R41" s="133" t="str">
        <f t="shared" si="22"/>
        <v>Step 4</v>
      </c>
      <c r="S41" s="175" t="str">
        <f t="shared" si="23"/>
        <v>Y</v>
      </c>
      <c r="T41" s="133"/>
      <c r="U41" s="205"/>
      <c r="V41" s="135">
        <f t="shared" ca="1" si="24"/>
        <v>43.774999999999999</v>
      </c>
      <c r="W41" s="125"/>
      <c r="X41" s="125"/>
    </row>
    <row r="42" spans="1:25" s="86" customFormat="1" x14ac:dyDescent="0.45">
      <c r="A42" s="84"/>
      <c r="B42" s="83"/>
      <c r="C42" s="126" t="s">
        <v>71</v>
      </c>
      <c r="D42" s="84"/>
      <c r="E42" s="84"/>
      <c r="F42" s="84"/>
      <c r="G42" s="84"/>
      <c r="H42" s="84"/>
      <c r="I42" s="84"/>
      <c r="J42" s="84"/>
      <c r="K42" s="84"/>
      <c r="L42" s="84"/>
      <c r="M42" s="84"/>
      <c r="N42" s="187"/>
      <c r="O42" s="185"/>
      <c r="P42" s="184"/>
      <c r="Q42" s="185"/>
      <c r="R42" s="132"/>
      <c r="S42" s="204"/>
      <c r="T42" s="132"/>
      <c r="U42" s="204"/>
      <c r="V42" s="132"/>
    </row>
    <row r="43" spans="1:25" s="86" customFormat="1" x14ac:dyDescent="0.45">
      <c r="A43" s="84"/>
      <c r="B43" s="83" t="s">
        <v>62</v>
      </c>
      <c r="C43" s="85" t="s">
        <v>72</v>
      </c>
      <c r="D43" s="84"/>
      <c r="E43" s="84"/>
      <c r="F43" s="84"/>
      <c r="G43" s="83" t="s">
        <v>73</v>
      </c>
      <c r="H43" s="96">
        <f ca="1">Q62</f>
        <v>7.9600800000000023</v>
      </c>
      <c r="I43" s="96">
        <f ca="1">Q43</f>
        <v>34.943160000000006</v>
      </c>
      <c r="J43" s="84"/>
      <c r="K43" s="84"/>
      <c r="L43" s="171"/>
      <c r="M43" s="84"/>
      <c r="N43" s="187" t="s">
        <v>152</v>
      </c>
      <c r="O43" s="185" t="s">
        <v>192</v>
      </c>
      <c r="P43" s="198"/>
      <c r="Q43" s="194" cm="1">
        <f t="array" aca="1" ref="Q43" ca="1">IF(O43="Y",VLOOKUP(N43,INDIRECT(P$4),3,0)*INDIRECT(N$3),VLOOKUP(N43,INDIRECT(P$4),3,0))</f>
        <v>34.943160000000006</v>
      </c>
      <c r="R43" s="133" t="str">
        <f t="shared" ref="R43" si="25">N43</f>
        <v>Step 5</v>
      </c>
      <c r="S43" s="175" t="str">
        <f t="shared" ref="S43" si="26">O43</f>
        <v>Y</v>
      </c>
      <c r="T43" s="133"/>
      <c r="U43" s="205"/>
      <c r="V43" s="135">
        <f t="shared" ref="V43" ca="1" si="27">ROUND(Q43,3)</f>
        <v>34.942999999999998</v>
      </c>
      <c r="W43" s="127"/>
      <c r="X43" s="125"/>
    </row>
    <row r="44" spans="1:25" s="86" customFormat="1" x14ac:dyDescent="0.45">
      <c r="A44" s="84"/>
      <c r="B44" s="84"/>
      <c r="C44" s="83"/>
      <c r="D44" s="85"/>
      <c r="E44" s="84"/>
      <c r="F44" s="84"/>
      <c r="G44" s="83"/>
      <c r="H44" s="96"/>
      <c r="I44" s="96"/>
      <c r="J44" s="84"/>
      <c r="K44" s="84"/>
      <c r="L44" s="84"/>
      <c r="M44" s="84"/>
      <c r="N44" s="187"/>
      <c r="O44" s="188"/>
      <c r="P44" s="198"/>
      <c r="Q44" s="194"/>
      <c r="R44" s="206"/>
      <c r="S44" s="204"/>
      <c r="T44" s="206"/>
      <c r="U44" s="204"/>
      <c r="V44" s="204"/>
      <c r="W44" s="127"/>
      <c r="X44" s="125"/>
    </row>
    <row r="45" spans="1:25" s="86" customFormat="1" ht="29.25" customHeight="1" x14ac:dyDescent="0.45">
      <c r="A45" s="242" t="s">
        <v>137</v>
      </c>
      <c r="B45" s="242"/>
      <c r="C45" s="242"/>
      <c r="D45" s="242"/>
      <c r="E45" s="242"/>
      <c r="F45" s="242"/>
      <c r="G45" s="242"/>
      <c r="H45" s="242"/>
      <c r="I45" s="242"/>
      <c r="J45" s="242"/>
      <c r="K45" s="84"/>
      <c r="L45" s="84"/>
      <c r="M45" s="84"/>
      <c r="N45" s="201"/>
      <c r="O45" s="201"/>
      <c r="P45" s="201"/>
      <c r="Q45" s="212"/>
      <c r="R45" s="132"/>
      <c r="S45" s="132"/>
      <c r="T45" s="132"/>
      <c r="U45" s="132"/>
      <c r="V45" s="132"/>
      <c r="W45" s="127"/>
      <c r="X45" s="125"/>
    </row>
    <row r="46" spans="1:25" s="86" customFormat="1" x14ac:dyDescent="0.45">
      <c r="A46" s="223"/>
      <c r="B46" s="223"/>
      <c r="C46" s="223"/>
      <c r="D46" s="223"/>
      <c r="E46" s="223"/>
      <c r="F46" s="223"/>
      <c r="G46" s="223"/>
      <c r="H46" s="223"/>
      <c r="I46" s="223"/>
      <c r="J46" s="223"/>
      <c r="K46" s="84"/>
      <c r="L46" s="84"/>
      <c r="M46" s="84"/>
      <c r="N46" s="201"/>
      <c r="O46" s="201"/>
      <c r="P46" s="201"/>
      <c r="Q46" s="212"/>
      <c r="R46" s="132"/>
      <c r="S46" s="132"/>
      <c r="T46" s="132"/>
      <c r="U46" s="132"/>
      <c r="V46" s="132"/>
      <c r="W46" s="127"/>
      <c r="X46" s="125"/>
    </row>
    <row r="47" spans="1:25" s="86" customFormat="1" x14ac:dyDescent="0.45">
      <c r="A47" s="99" t="s">
        <v>195</v>
      </c>
      <c r="B47" s="84"/>
      <c r="C47" s="83"/>
      <c r="E47" s="84"/>
      <c r="F47" s="84"/>
      <c r="G47" s="83" t="s">
        <v>42</v>
      </c>
      <c r="H47" s="216">
        <f ca="1">Q73</f>
        <v>18.792260000000002</v>
      </c>
      <c r="I47" s="102">
        <f ca="1">Q47</f>
        <v>45.77534</v>
      </c>
      <c r="J47" s="84"/>
      <c r="K47" s="84"/>
      <c r="L47" s="84"/>
      <c r="M47" s="84"/>
      <c r="N47" s="187"/>
      <c r="O47" s="188"/>
      <c r="P47" s="184"/>
      <c r="Q47" s="220">
        <f ca="1">Q73+Q38</f>
        <v>45.77534</v>
      </c>
      <c r="R47" s="133"/>
      <c r="S47" s="175"/>
      <c r="T47" s="133"/>
      <c r="U47" s="175"/>
      <c r="V47" s="217"/>
    </row>
    <row r="48" spans="1:25" s="86" customFormat="1" x14ac:dyDescent="0.45">
      <c r="A48" s="84"/>
      <c r="B48" s="85" t="s">
        <v>200</v>
      </c>
      <c r="C48" s="83"/>
      <c r="E48" s="84"/>
      <c r="F48" s="84"/>
      <c r="G48" s="84"/>
      <c r="H48" s="83"/>
      <c r="I48" s="84"/>
      <c r="J48" s="84"/>
      <c r="K48" s="84"/>
      <c r="L48" s="84"/>
      <c r="M48" s="84"/>
      <c r="N48" s="187"/>
      <c r="O48" s="188"/>
      <c r="P48" s="184"/>
      <c r="Q48" s="185"/>
      <c r="R48" s="132"/>
      <c r="S48" s="204"/>
      <c r="T48" s="132"/>
      <c r="U48" s="204"/>
      <c r="V48" s="132"/>
    </row>
    <row r="49" spans="1:24" s="86" customFormat="1" x14ac:dyDescent="0.45">
      <c r="A49" s="84"/>
      <c r="B49" s="85" t="s">
        <v>199</v>
      </c>
      <c r="C49" s="83"/>
      <c r="D49" s="85"/>
      <c r="E49" s="84"/>
      <c r="F49" s="84"/>
      <c r="G49" s="84"/>
      <c r="H49" s="83"/>
      <c r="I49" s="84"/>
      <c r="J49" s="84"/>
      <c r="K49" s="84"/>
      <c r="L49" s="84"/>
      <c r="M49" s="84"/>
      <c r="N49" s="187"/>
      <c r="O49" s="188"/>
      <c r="P49" s="184"/>
      <c r="Q49" s="185"/>
      <c r="R49" s="132"/>
      <c r="S49" s="204"/>
      <c r="T49" s="132"/>
      <c r="U49" s="204"/>
      <c r="V49" s="132"/>
    </row>
    <row r="50" spans="1:24" s="86" customFormat="1" x14ac:dyDescent="0.45">
      <c r="A50" s="84"/>
      <c r="C50" s="83"/>
      <c r="D50" s="84"/>
      <c r="E50" s="84"/>
      <c r="F50" s="84"/>
      <c r="G50" s="84"/>
      <c r="H50" s="83" t="s">
        <v>48</v>
      </c>
      <c r="I50" s="84"/>
      <c r="J50" s="84"/>
      <c r="K50" s="84"/>
      <c r="L50" s="84"/>
      <c r="M50" s="84"/>
      <c r="N50" s="187"/>
      <c r="O50" s="188"/>
      <c r="P50" s="184"/>
      <c r="Q50" s="185"/>
      <c r="R50" s="132"/>
      <c r="S50" s="204"/>
      <c r="T50" s="132"/>
      <c r="U50" s="204"/>
      <c r="V50" s="132"/>
    </row>
    <row r="51" spans="1:24" s="86" customFormat="1" ht="14.25" customHeight="1" x14ac:dyDescent="0.45">
      <c r="A51" s="128"/>
      <c r="B51" s="105"/>
      <c r="C51" s="106"/>
      <c r="D51" s="128"/>
      <c r="E51" s="105"/>
      <c r="F51" s="105"/>
      <c r="G51" s="106"/>
      <c r="H51" s="129"/>
      <c r="I51" s="129"/>
      <c r="J51" s="105"/>
      <c r="K51" s="84"/>
      <c r="L51" s="84"/>
      <c r="M51" s="84"/>
      <c r="N51" s="201"/>
      <c r="O51" s="201"/>
      <c r="P51" s="201"/>
      <c r="Q51" s="212"/>
      <c r="R51" s="132"/>
      <c r="S51" s="132"/>
      <c r="T51" s="132"/>
      <c r="U51" s="132"/>
      <c r="V51" s="132"/>
      <c r="W51" s="127"/>
      <c r="X51" s="125"/>
    </row>
    <row r="52" spans="1:24" s="86" customFormat="1" x14ac:dyDescent="0.45">
      <c r="A52" s="99"/>
      <c r="C52" s="84"/>
      <c r="D52" s="84"/>
      <c r="E52" s="84"/>
      <c r="F52" s="84"/>
      <c r="G52" s="84"/>
      <c r="H52" s="84"/>
      <c r="I52" s="84"/>
      <c r="J52" s="84"/>
      <c r="K52" s="84"/>
      <c r="L52" s="84"/>
      <c r="M52" s="84"/>
      <c r="N52" s="201"/>
      <c r="O52" s="201"/>
      <c r="P52" s="201"/>
      <c r="Q52" s="212"/>
      <c r="R52" s="132"/>
      <c r="S52" s="132"/>
      <c r="T52" s="132"/>
      <c r="U52" s="132"/>
      <c r="V52" s="132"/>
    </row>
    <row r="53" spans="1:24" s="86" customFormat="1" x14ac:dyDescent="0.45">
      <c r="A53" s="242" t="str">
        <f>"In addition to the above wage rates for Temporary Employees, the Employer shall make contributions to the IATSE Health and Welfare Plan"</f>
        <v>In addition to the above wage rates for Temporary Employees, the Employer shall make contributions to the IATSE Health and Welfare Plan</v>
      </c>
      <c r="B53" s="242"/>
      <c r="C53" s="242"/>
      <c r="D53" s="242"/>
      <c r="E53" s="242"/>
      <c r="F53" s="242"/>
      <c r="G53" s="242"/>
      <c r="H53" s="242"/>
      <c r="I53" s="242"/>
      <c r="J53" s="242"/>
      <c r="K53" s="84"/>
      <c r="L53" s="84"/>
      <c r="M53" s="84"/>
      <c r="N53" s="184" t="s">
        <v>201</v>
      </c>
      <c r="O53" s="201"/>
      <c r="P53" s="201"/>
      <c r="Q53" s="213">
        <v>0.1</v>
      </c>
      <c r="R53" s="133" t="str">
        <f>N53</f>
        <v>IATSE H&amp;W</v>
      </c>
      <c r="S53" s="133"/>
      <c r="T53" s="133"/>
      <c r="U53" s="133"/>
      <c r="V53" s="218">
        <f>Q53</f>
        <v>0.1</v>
      </c>
    </row>
    <row r="54" spans="1:24" s="86" customFormat="1" x14ac:dyDescent="0.45">
      <c r="A54" s="84" t="str">
        <f>"sponsored by the Union for the benefit of its members. Such contributions shall be made at the rate of "&amp;TEXT(Q53,"###.0%")&amp;" of gross wages."</f>
        <v>sponsored by the Union for the benefit of its members. Such contributions shall be made at the rate of 10.0% of gross wages.</v>
      </c>
      <c r="C54" s="84"/>
      <c r="D54" s="84"/>
      <c r="E54" s="84"/>
      <c r="F54" s="84"/>
      <c r="G54" s="84"/>
      <c r="H54" s="84"/>
      <c r="I54" s="84"/>
      <c r="J54" s="84"/>
      <c r="K54" s="84"/>
      <c r="L54" s="84"/>
      <c r="M54" s="84"/>
      <c r="N54" s="201"/>
      <c r="O54" s="201"/>
      <c r="P54" s="201"/>
      <c r="Q54" s="212"/>
      <c r="R54" s="132"/>
      <c r="S54" s="132"/>
      <c r="T54" s="132"/>
      <c r="U54" s="132"/>
      <c r="V54" s="132"/>
    </row>
    <row r="55" spans="1:24" s="86" customFormat="1" x14ac:dyDescent="0.45">
      <c r="A55" s="84"/>
      <c r="C55" s="84"/>
      <c r="D55" s="84"/>
      <c r="E55" s="84"/>
      <c r="F55" s="84"/>
      <c r="G55" s="84"/>
      <c r="H55" s="84"/>
      <c r="I55" s="84"/>
      <c r="J55" s="84"/>
      <c r="K55" s="84"/>
      <c r="L55" s="84"/>
      <c r="M55" s="84"/>
      <c r="N55" s="201"/>
      <c r="O55" s="201"/>
      <c r="P55" s="201"/>
      <c r="Q55" s="212"/>
      <c r="R55" s="132"/>
      <c r="S55" s="132"/>
      <c r="T55" s="132"/>
      <c r="U55" s="132"/>
      <c r="V55" s="132"/>
    </row>
    <row r="56" spans="1:24" s="86" customFormat="1" x14ac:dyDescent="0.45">
      <c r="A56" s="99" t="s">
        <v>93</v>
      </c>
      <c r="C56" s="84"/>
      <c r="D56" s="84"/>
      <c r="E56" s="84"/>
      <c r="F56" s="84"/>
      <c r="G56" s="84"/>
      <c r="H56" s="84"/>
      <c r="I56" s="84"/>
      <c r="J56" s="84"/>
      <c r="K56" s="84"/>
      <c r="L56" s="84"/>
      <c r="M56" s="84"/>
      <c r="N56" s="201"/>
      <c r="O56" s="201"/>
      <c r="P56" s="201"/>
      <c r="Q56" s="212"/>
      <c r="R56" s="132"/>
      <c r="S56" s="132"/>
      <c r="T56" s="132"/>
      <c r="U56" s="132"/>
      <c r="V56" s="132"/>
    </row>
    <row r="57" spans="1:24" s="86" customFormat="1" x14ac:dyDescent="0.45">
      <c r="A57" s="242" t="s">
        <v>202</v>
      </c>
      <c r="B57" s="242"/>
      <c r="C57" s="242"/>
      <c r="D57" s="242"/>
      <c r="E57" s="242"/>
      <c r="F57" s="242"/>
      <c r="G57" s="242"/>
      <c r="H57" s="242"/>
      <c r="I57" s="242"/>
      <c r="J57" s="242"/>
      <c r="K57" s="84"/>
      <c r="L57" s="84"/>
      <c r="M57" s="84"/>
      <c r="N57" s="201"/>
      <c r="O57" s="201"/>
      <c r="P57" s="201"/>
      <c r="Q57" s="212"/>
      <c r="R57" s="132"/>
      <c r="S57" s="132"/>
      <c r="T57" s="132"/>
      <c r="U57" s="132"/>
      <c r="V57" s="132"/>
    </row>
    <row r="58" spans="1:24" s="86" customFormat="1" x14ac:dyDescent="0.45">
      <c r="A58" s="85" t="str">
        <f>"Trust, sponsored by the Union for the benefit of its members. Such contributions shall be made at the rate of "&amp;TEXT(Q58,"##.0%")&amp;" of gross wages."</f>
        <v>Trust, sponsored by the Union for the benefit of its members. Such contributions shall be made at the rate of 6.0% of gross wages.</v>
      </c>
      <c r="B58" s="223"/>
      <c r="C58" s="223"/>
      <c r="D58" s="223"/>
      <c r="E58" s="223"/>
      <c r="F58" s="223"/>
      <c r="G58" s="223"/>
      <c r="H58" s="223"/>
      <c r="I58" s="223"/>
      <c r="J58" s="223"/>
      <c r="K58" s="84"/>
      <c r="L58" s="84"/>
      <c r="M58" s="84"/>
      <c r="N58" s="184" t="s">
        <v>203</v>
      </c>
      <c r="O58" s="201"/>
      <c r="P58" s="201"/>
      <c r="Q58" s="213">
        <v>0.06</v>
      </c>
      <c r="R58" s="133" t="str">
        <f>N58</f>
        <v>IATSE Retirement</v>
      </c>
      <c r="S58" s="133"/>
      <c r="T58" s="133"/>
      <c r="U58" s="133"/>
      <c r="V58" s="218">
        <f>Q58</f>
        <v>0.06</v>
      </c>
    </row>
    <row r="59" spans="1:24" s="86" customFormat="1" x14ac:dyDescent="0.45">
      <c r="A59" s="85"/>
      <c r="B59" s="223"/>
      <c r="C59" s="223"/>
      <c r="D59" s="223"/>
      <c r="E59" s="223"/>
      <c r="F59" s="223"/>
      <c r="G59" s="223"/>
      <c r="H59" s="223"/>
      <c r="I59" s="223"/>
      <c r="J59" s="223"/>
      <c r="K59" s="84"/>
      <c r="L59" s="84"/>
      <c r="M59" s="84"/>
      <c r="N59" s="184"/>
      <c r="O59" s="201"/>
      <c r="P59" s="201"/>
      <c r="Q59" s="214"/>
      <c r="R59" s="132"/>
      <c r="S59" s="132"/>
      <c r="T59" s="132"/>
      <c r="U59" s="132"/>
      <c r="V59" s="132"/>
    </row>
    <row r="60" spans="1:24" s="86" customFormat="1" x14ac:dyDescent="0.45">
      <c r="A60" s="84"/>
      <c r="C60" s="84"/>
      <c r="D60" s="84"/>
      <c r="E60" s="84"/>
      <c r="F60" s="84"/>
      <c r="G60" s="84"/>
      <c r="H60" s="84"/>
      <c r="I60" s="84"/>
      <c r="J60" s="84"/>
      <c r="K60" s="84"/>
      <c r="L60" s="84"/>
      <c r="M60" s="84"/>
      <c r="N60" s="189" t="s">
        <v>156</v>
      </c>
      <c r="O60" s="190"/>
      <c r="P60" s="191" t="s">
        <v>157</v>
      </c>
      <c r="Q60" s="192" t="s">
        <v>155</v>
      </c>
      <c r="R60" s="172" t="s">
        <v>156</v>
      </c>
      <c r="S60" s="179" t="s">
        <v>190</v>
      </c>
      <c r="T60" s="173" t="s">
        <v>157</v>
      </c>
      <c r="U60" s="132"/>
      <c r="V60" s="176" t="s">
        <v>155</v>
      </c>
    </row>
    <row r="61" spans="1:24" s="86" customFormat="1" x14ac:dyDescent="0.45">
      <c r="A61" s="84"/>
      <c r="C61" s="84"/>
      <c r="D61" s="84"/>
      <c r="E61" s="84"/>
      <c r="F61" s="84"/>
      <c r="G61" s="84"/>
      <c r="H61" s="84"/>
      <c r="I61" s="84"/>
      <c r="J61" s="84"/>
      <c r="K61" s="84"/>
      <c r="L61" s="84"/>
      <c r="M61" s="84"/>
      <c r="N61" s="202" t="s">
        <v>158</v>
      </c>
      <c r="O61" s="203" t="s">
        <v>192</v>
      </c>
      <c r="P61" s="202" t="s">
        <v>159</v>
      </c>
      <c r="Q61" s="194" cm="1">
        <f t="array" aca="1" ref="Q61" ca="1">IF(O61="Y",VLOOKUP(N61,INDIRECT(P$4),3,0)*INDIRECT(N$3),VLOOKUP(N61,INDIRECT(P$4),3,0))</f>
        <v>7.9600800000000023</v>
      </c>
      <c r="R61" s="207" t="str">
        <f t="shared" ref="R61" si="28">N61</f>
        <v>LDD</v>
      </c>
      <c r="S61" s="208" t="str">
        <f t="shared" ref="S61" si="29">O61</f>
        <v>Y</v>
      </c>
      <c r="T61" s="207" t="str">
        <f>P61</f>
        <v>Perfm 3 Stagehands/Dbl/</v>
      </c>
      <c r="U61" s="209"/>
      <c r="V61" s="210">
        <f t="shared" ref="V61" ca="1" si="30">ROUND(Q61,3)</f>
        <v>7.96</v>
      </c>
    </row>
    <row r="62" spans="1:24" s="86" customFormat="1" x14ac:dyDescent="0.45">
      <c r="A62" s="84"/>
      <c r="C62" s="84"/>
      <c r="D62" s="84"/>
      <c r="E62" s="84"/>
      <c r="F62" s="84"/>
      <c r="G62" s="84"/>
      <c r="H62" s="84"/>
      <c r="I62" s="84"/>
      <c r="J62" s="84"/>
      <c r="K62" s="84"/>
      <c r="L62" s="84"/>
      <c r="M62" s="84"/>
      <c r="N62" s="202" t="s">
        <v>160</v>
      </c>
      <c r="O62" s="203" t="s">
        <v>192</v>
      </c>
      <c r="P62" s="202" t="s">
        <v>161</v>
      </c>
      <c r="Q62" s="194" cm="1">
        <f t="array" aca="1" ref="Q62" ca="1">IF(O62="Y",VLOOKUP(N62,INDIRECT(P$4),3,0)*INDIRECT(N$3),VLOOKUP(N62,INDIRECT(P$4),3,0))</f>
        <v>7.9600800000000023</v>
      </c>
      <c r="R62" s="207" t="str">
        <f t="shared" ref="R62:R75" si="31">N62</f>
        <v>LDR</v>
      </c>
      <c r="S62" s="208" t="str">
        <f t="shared" ref="S62:S72" si="32">O62</f>
        <v>Y</v>
      </c>
      <c r="T62" s="207" t="str">
        <f t="shared" ref="T62:T75" si="33">P62</f>
        <v>Perfm 3 Stagehands</v>
      </c>
      <c r="U62" s="209"/>
      <c r="V62" s="210">
        <f t="shared" ref="V62:V75" ca="1" si="34">ROUND(Q62,3)</f>
        <v>7.96</v>
      </c>
    </row>
    <row r="63" spans="1:24" s="86" customFormat="1" x14ac:dyDescent="0.45">
      <c r="A63" s="84"/>
      <c r="B63" s="84"/>
      <c r="C63" s="84"/>
      <c r="D63" s="84"/>
      <c r="E63" s="84"/>
      <c r="F63" s="84"/>
      <c r="G63" s="84"/>
      <c r="H63" s="84"/>
      <c r="I63" s="84"/>
      <c r="J63" s="84"/>
      <c r="K63" s="84"/>
      <c r="L63" s="84"/>
      <c r="M63" s="84"/>
      <c r="N63" s="202" t="s">
        <v>162</v>
      </c>
      <c r="O63" s="203" t="s">
        <v>192</v>
      </c>
      <c r="P63" s="202" t="s">
        <v>163</v>
      </c>
      <c r="Q63" s="194" cm="1">
        <f t="array" aca="1" ref="Q63" ca="1">IF(O63="Y",VLOOKUP(N63,INDIRECT(P$4),3,0)*INDIRECT(N$3),VLOOKUP(N63,INDIRECT(P$4),3,0))</f>
        <v>7.9600800000000023</v>
      </c>
      <c r="R63" s="207" t="str">
        <f t="shared" si="31"/>
        <v>LDT</v>
      </c>
      <c r="S63" s="208" t="str">
        <f t="shared" si="32"/>
        <v>Y</v>
      </c>
      <c r="T63" s="207" t="str">
        <f t="shared" si="33"/>
        <v>Perfm 3 Stagehands/1.5/</v>
      </c>
      <c r="U63" s="209"/>
      <c r="V63" s="210">
        <f t="shared" ca="1" si="34"/>
        <v>7.96</v>
      </c>
    </row>
    <row r="64" spans="1:24" s="86" customFormat="1" x14ac:dyDescent="0.45">
      <c r="A64" s="89"/>
      <c r="B64" s="101"/>
      <c r="C64" s="107"/>
      <c r="D64" s="107"/>
      <c r="E64" s="84"/>
      <c r="F64" s="84"/>
      <c r="G64" s="84"/>
      <c r="H64" s="84"/>
      <c r="I64" s="84"/>
      <c r="J64" s="84"/>
      <c r="K64" s="84"/>
      <c r="L64" s="84"/>
      <c r="M64" s="84"/>
      <c r="N64" s="202" t="s">
        <v>164</v>
      </c>
      <c r="O64" s="203" t="s">
        <v>192</v>
      </c>
      <c r="P64" s="202" t="s">
        <v>165</v>
      </c>
      <c r="Q64" s="194" cm="1">
        <f t="array" aca="1" ref="Q64" ca="1">IF(O64="Y",VLOOKUP(N64,INDIRECT(P$4),3,0)*INDIRECT(N$3),VLOOKUP(N64,INDIRECT(P$4),3,0))</f>
        <v>16.792260000000002</v>
      </c>
      <c r="R64" s="207" t="str">
        <f t="shared" si="31"/>
        <v>RTD</v>
      </c>
      <c r="S64" s="208" t="str">
        <f t="shared" si="32"/>
        <v>Y</v>
      </c>
      <c r="T64" s="207" t="str">
        <f t="shared" si="33"/>
        <v>L13 Tmp Rig Prm Dbl Hrs/</v>
      </c>
      <c r="U64" s="209"/>
      <c r="V64" s="210">
        <f t="shared" ca="1" si="34"/>
        <v>16.792000000000002</v>
      </c>
    </row>
    <row r="65" spans="1:22" s="86" customFormat="1" x14ac:dyDescent="0.45">
      <c r="A65" s="99"/>
      <c r="B65" s="83"/>
      <c r="C65" s="83"/>
      <c r="D65" s="84"/>
      <c r="E65" s="84"/>
      <c r="F65" s="84"/>
      <c r="G65" s="84"/>
      <c r="H65" s="84"/>
      <c r="I65" s="84"/>
      <c r="J65" s="84"/>
      <c r="K65" s="84"/>
      <c r="L65" s="84"/>
      <c r="M65" s="84"/>
      <c r="N65" s="202" t="s">
        <v>166</v>
      </c>
      <c r="O65" s="203" t="s">
        <v>192</v>
      </c>
      <c r="P65" s="202" t="s">
        <v>167</v>
      </c>
      <c r="Q65" s="194" cm="1">
        <f t="array" aca="1" ref="Q65" ca="1">IF(O65="Y",VLOOKUP(N65,INDIRECT(P$4),3,0)*INDIRECT(N$3),VLOOKUP(N65,INDIRECT(P$4),3,0))</f>
        <v>16.792260000000002</v>
      </c>
      <c r="R65" s="207" t="str">
        <f t="shared" si="31"/>
        <v>RTG</v>
      </c>
      <c r="S65" s="208" t="str">
        <f t="shared" si="32"/>
        <v>Y</v>
      </c>
      <c r="T65" s="207" t="str">
        <f t="shared" si="33"/>
        <v>L13 Tmp Rig Prm Reg Hrs/</v>
      </c>
      <c r="U65" s="209"/>
      <c r="V65" s="210">
        <f t="shared" ca="1" si="34"/>
        <v>16.792000000000002</v>
      </c>
    </row>
    <row r="66" spans="1:22" x14ac:dyDescent="0.45">
      <c r="N66" s="202" t="s">
        <v>168</v>
      </c>
      <c r="O66" s="203" t="s">
        <v>192</v>
      </c>
      <c r="P66" s="202" t="s">
        <v>169</v>
      </c>
      <c r="Q66" s="194" cm="1">
        <f t="array" aca="1" ref="Q66" ca="1">IF(O66="Y",VLOOKUP(N66,INDIRECT(P$4),3,0)*INDIRECT(N$3),VLOOKUP(N66,INDIRECT(P$4),3,0))</f>
        <v>16.792260000000002</v>
      </c>
      <c r="R66" s="207" t="str">
        <f t="shared" si="31"/>
        <v>RTT</v>
      </c>
      <c r="S66" s="208" t="str">
        <f t="shared" si="32"/>
        <v>Y</v>
      </c>
      <c r="T66" s="207" t="str">
        <f t="shared" si="33"/>
        <v>L13Tmp Rig Pm 1 1/2 Hrs/</v>
      </c>
      <c r="U66" s="209"/>
      <c r="V66" s="210">
        <f t="shared" ca="1" si="34"/>
        <v>16.792000000000002</v>
      </c>
    </row>
    <row r="67" spans="1:22" x14ac:dyDescent="0.45">
      <c r="N67" s="202" t="s">
        <v>170</v>
      </c>
      <c r="O67" s="203" t="s">
        <v>192</v>
      </c>
      <c r="P67" s="202" t="s">
        <v>171</v>
      </c>
      <c r="Q67" s="194" cm="1">
        <f t="array" aca="1" ref="Q67" ca="1">IF(O67="Y",VLOOKUP(N67,INDIRECT(P$4),3,0)*INDIRECT(N$3),VLOOKUP(N67,INDIRECT(P$4),3,0))</f>
        <v>6.7554599999999976</v>
      </c>
      <c r="R67" s="207" t="str">
        <f t="shared" si="31"/>
        <v>SPD</v>
      </c>
      <c r="S67" s="208" t="str">
        <f t="shared" si="32"/>
        <v>Y</v>
      </c>
      <c r="T67" s="207" t="str">
        <f t="shared" si="33"/>
        <v>Perfm 2 Stagehands/Dbl/</v>
      </c>
      <c r="U67" s="209"/>
      <c r="V67" s="210">
        <f t="shared" ca="1" si="34"/>
        <v>6.7549999999999999</v>
      </c>
    </row>
    <row r="68" spans="1:22" x14ac:dyDescent="0.45">
      <c r="N68" s="202" t="s">
        <v>172</v>
      </c>
      <c r="O68" s="203" t="s">
        <v>192</v>
      </c>
      <c r="P68" s="202" t="s">
        <v>173</v>
      </c>
      <c r="Q68" s="194" cm="1">
        <f t="array" aca="1" ref="Q68" ca="1">IF(O68="Y",VLOOKUP(N68,INDIRECT(P$4),3,0)*INDIRECT(N$3),VLOOKUP(N68,INDIRECT(P$4),3,0))</f>
        <v>6.7554599999999976</v>
      </c>
      <c r="R68" s="207" t="str">
        <f t="shared" si="31"/>
        <v>SPR</v>
      </c>
      <c r="S68" s="208" t="str">
        <f t="shared" si="32"/>
        <v>Y</v>
      </c>
      <c r="T68" s="207" t="str">
        <f t="shared" si="33"/>
        <v>Perfm 2 Stagehands/</v>
      </c>
      <c r="U68" s="209"/>
      <c r="V68" s="210">
        <f t="shared" ca="1" si="34"/>
        <v>6.7549999999999999</v>
      </c>
    </row>
    <row r="69" spans="1:22" x14ac:dyDescent="0.45">
      <c r="N69" s="202" t="s">
        <v>174</v>
      </c>
      <c r="O69" s="203" t="s">
        <v>192</v>
      </c>
      <c r="P69" s="202" t="s">
        <v>175</v>
      </c>
      <c r="Q69" s="194" cm="1">
        <f t="array" aca="1" ref="Q69" ca="1">IF(O69="Y",VLOOKUP(N69,INDIRECT(P$4),3,0)*INDIRECT(N$3),VLOOKUP(N69,INDIRECT(P$4),3,0))</f>
        <v>6.7554599999999976</v>
      </c>
      <c r="R69" s="207" t="str">
        <f t="shared" si="31"/>
        <v>SPT</v>
      </c>
      <c r="S69" s="208" t="str">
        <f t="shared" si="32"/>
        <v>Y</v>
      </c>
      <c r="T69" s="207" t="str">
        <f t="shared" si="33"/>
        <v>Perfm 2 Stagehands/1.5/</v>
      </c>
      <c r="U69" s="209"/>
      <c r="V69" s="210">
        <f t="shared" ca="1" si="34"/>
        <v>6.7549999999999999</v>
      </c>
    </row>
    <row r="70" spans="1:22" x14ac:dyDescent="0.45">
      <c r="N70" s="202" t="s">
        <v>176</v>
      </c>
      <c r="O70" s="203" t="s">
        <v>192</v>
      </c>
      <c r="P70" s="202" t="s">
        <v>177</v>
      </c>
      <c r="Q70" s="194" cm="1">
        <f t="array" aca="1" ref="Q70" ca="1">IF(O70="Y",VLOOKUP(N70,INDIRECT(P$4),3,0)*INDIRECT(N$3),VLOOKUP(N70,INDIRECT(P$4),3,0))</f>
        <v>1.8360000000000007</v>
      </c>
      <c r="R70" s="207" t="str">
        <f t="shared" si="31"/>
        <v>STD</v>
      </c>
      <c r="S70" s="208" t="str">
        <f t="shared" si="32"/>
        <v>Y</v>
      </c>
      <c r="T70" s="207" t="str">
        <f t="shared" si="33"/>
        <v>Perfm 1 Stagehands/Dbl</v>
      </c>
      <c r="U70" s="209"/>
      <c r="V70" s="210">
        <f t="shared" ca="1" si="34"/>
        <v>1.8360000000000001</v>
      </c>
    </row>
    <row r="71" spans="1:22" x14ac:dyDescent="0.45">
      <c r="N71" s="202" t="s">
        <v>178</v>
      </c>
      <c r="O71" s="203" t="s">
        <v>192</v>
      </c>
      <c r="P71" s="202" t="s">
        <v>179</v>
      </c>
      <c r="Q71" s="194" cm="1">
        <f t="array" aca="1" ref="Q71" ca="1">IF(O71="Y",VLOOKUP(N71,INDIRECT(P$4),3,0)*INDIRECT(N$3),VLOOKUP(N71,INDIRECT(P$4),3,0))</f>
        <v>1.8360000000000007</v>
      </c>
      <c r="R71" s="207" t="str">
        <f t="shared" si="31"/>
        <v>STG</v>
      </c>
      <c r="S71" s="208" t="str">
        <f t="shared" si="32"/>
        <v>Y</v>
      </c>
      <c r="T71" s="207" t="str">
        <f t="shared" si="33"/>
        <v>Perfm 1 Stagehands</v>
      </c>
      <c r="U71" s="209"/>
      <c r="V71" s="210">
        <f t="shared" ca="1" si="34"/>
        <v>1.8360000000000001</v>
      </c>
    </row>
    <row r="72" spans="1:22" x14ac:dyDescent="0.45">
      <c r="N72" s="202" t="s">
        <v>180</v>
      </c>
      <c r="O72" s="203" t="s">
        <v>192</v>
      </c>
      <c r="P72" s="202" t="s">
        <v>181</v>
      </c>
      <c r="Q72" s="194" cm="1">
        <f t="array" aca="1" ref="Q72" ca="1">IF(O72="Y",VLOOKUP(N72,INDIRECT(P$4),3,0)*INDIRECT(N$3),VLOOKUP(N72,INDIRECT(P$4),3,0))</f>
        <v>1.8360000000000007</v>
      </c>
      <c r="R72" s="207" t="str">
        <f t="shared" si="31"/>
        <v>STT</v>
      </c>
      <c r="S72" s="208" t="str">
        <f t="shared" si="32"/>
        <v>Y</v>
      </c>
      <c r="T72" s="207" t="str">
        <f t="shared" si="33"/>
        <v>Perfm 1 Stagehands/1.5</v>
      </c>
      <c r="U72" s="209"/>
      <c r="V72" s="210">
        <f t="shared" ca="1" si="34"/>
        <v>1.8360000000000001</v>
      </c>
    </row>
    <row r="73" spans="1:22" x14ac:dyDescent="0.45">
      <c r="N73" s="187" t="s">
        <v>204</v>
      </c>
      <c r="O73" s="188" t="s">
        <v>18</v>
      </c>
      <c r="P73" s="184" t="s">
        <v>205</v>
      </c>
      <c r="Q73" s="194">
        <f ca="1">Q65+2</f>
        <v>18.792260000000002</v>
      </c>
      <c r="R73" s="133" t="str">
        <f t="shared" si="31"/>
        <v>LRR</v>
      </c>
      <c r="S73" s="175" t="s">
        <v>18</v>
      </c>
      <c r="T73" s="207" t="str">
        <f t="shared" si="33"/>
        <v>ETCP Lead Rigger- temp</v>
      </c>
      <c r="U73" s="175"/>
      <c r="V73" s="133">
        <f t="shared" ca="1" si="34"/>
        <v>18.792000000000002</v>
      </c>
    </row>
    <row r="74" spans="1:22" x14ac:dyDescent="0.45">
      <c r="N74" s="187" t="s">
        <v>206</v>
      </c>
      <c r="O74" s="188" t="s">
        <v>18</v>
      </c>
      <c r="P74" s="184" t="s">
        <v>207</v>
      </c>
      <c r="Q74" s="194">
        <f ca="1">Q73</f>
        <v>18.792260000000002</v>
      </c>
      <c r="R74" s="133" t="str">
        <f t="shared" si="31"/>
        <v>LRT</v>
      </c>
      <c r="S74" s="175" t="s">
        <v>18</v>
      </c>
      <c r="T74" s="207" t="str">
        <f t="shared" si="33"/>
        <v>ETCP Lead Rigger- 1.5</v>
      </c>
      <c r="U74" s="175"/>
      <c r="V74" s="133">
        <f t="shared" ca="1" si="34"/>
        <v>18.792000000000002</v>
      </c>
    </row>
    <row r="75" spans="1:22" x14ac:dyDescent="0.45">
      <c r="N75" s="187" t="s">
        <v>208</v>
      </c>
      <c r="O75" s="188" t="s">
        <v>18</v>
      </c>
      <c r="P75" s="184" t="s">
        <v>209</v>
      </c>
      <c r="Q75" s="194">
        <f ca="1">Q74</f>
        <v>18.792260000000002</v>
      </c>
      <c r="R75" s="133" t="str">
        <f t="shared" si="31"/>
        <v>LRD</v>
      </c>
      <c r="S75" s="175" t="s">
        <v>18</v>
      </c>
      <c r="T75" s="207" t="str">
        <f t="shared" si="33"/>
        <v>ETCP Lead Rigger@2</v>
      </c>
      <c r="U75" s="175"/>
      <c r="V75" s="133">
        <f t="shared" ca="1" si="34"/>
        <v>18.792000000000002</v>
      </c>
    </row>
  </sheetData>
  <sheetProtection sheet="1" objects="1" scenarios="1"/>
  <mergeCells count="3">
    <mergeCell ref="A45:J45"/>
    <mergeCell ref="A53:J53"/>
    <mergeCell ref="A57:J57"/>
  </mergeCells>
  <phoneticPr fontId="20" type="noConversion"/>
  <pageMargins left="0.28999999999999998" right="0" top="0.34" bottom="0.25" header="0.19" footer="0.26"/>
  <pageSetup orientation="landscape" r:id="rId1"/>
  <headerFooter alignWithMargins="0">
    <oddFooter>&amp;L&amp;8Last Updated:  &amp;D&amp;R&amp;8Page &amp;P of &amp;N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97ADD-DE5D-4732-A422-2185D728E203}">
  <sheetPr codeName="Sheet10"/>
  <dimension ref="A1:Z74"/>
  <sheetViews>
    <sheetView showGridLines="0" workbookViewId="0">
      <selection activeCell="N3" sqref="N1:Q1048576"/>
    </sheetView>
  </sheetViews>
  <sheetFormatPr defaultColWidth="5.59765625" defaultRowHeight="14.25" x14ac:dyDescent="0.45"/>
  <cols>
    <col min="1" max="1" width="5.59765625" style="84" customWidth="1"/>
    <col min="2" max="2" width="8.59765625" style="84" customWidth="1"/>
    <col min="3" max="3" width="37.59765625" style="84" customWidth="1"/>
    <col min="4" max="4" width="32" style="84" customWidth="1"/>
    <col min="5" max="5" width="6.59765625" style="84" bestFit="1" customWidth="1"/>
    <col min="6" max="6" width="2.3984375" style="84" bestFit="1" customWidth="1"/>
    <col min="7" max="7" width="5.265625" style="84" bestFit="1" customWidth="1"/>
    <col min="8" max="8" width="10.73046875" style="84" bestFit="1" customWidth="1"/>
    <col min="9" max="9" width="8.86328125" style="84" customWidth="1"/>
    <col min="10" max="10" width="7.265625" style="84" customWidth="1"/>
    <col min="11" max="11" width="6.1328125" style="84" bestFit="1" customWidth="1"/>
    <col min="12" max="12" width="7.265625" style="84" bestFit="1" customWidth="1"/>
    <col min="13" max="13" width="5.59765625" style="84"/>
    <col min="14" max="14" width="13.265625" style="187" customWidth="1"/>
    <col min="15" max="15" width="13.265625" style="188" customWidth="1"/>
    <col min="16" max="16" width="27.3984375" style="184" customWidth="1"/>
    <col min="17" max="17" width="15.86328125" style="185" customWidth="1"/>
    <col min="18" max="18" width="13.265625" style="132" customWidth="1"/>
    <col min="19" max="19" width="7.59765625" style="204" customWidth="1"/>
    <col min="20" max="20" width="22" style="132" customWidth="1"/>
    <col min="21" max="21" width="9.3984375" style="204" customWidth="1"/>
    <col min="22" max="22" width="7.59765625" style="132" customWidth="1"/>
    <col min="23" max="23" width="8.265625" style="86" customWidth="1"/>
    <col min="24" max="24" width="9.3984375" style="86" customWidth="1"/>
    <col min="25" max="26" width="5.59765625" style="86"/>
    <col min="27" max="16384" width="5.59765625" style="84"/>
  </cols>
  <sheetData>
    <row r="1" spans="1:26" s="224" customFormat="1" ht="15.75" x14ac:dyDescent="0.5">
      <c r="A1" s="233" t="s">
        <v>182</v>
      </c>
      <c r="N1" s="225"/>
      <c r="O1" s="226"/>
      <c r="P1" s="227"/>
      <c r="Q1" s="228"/>
      <c r="R1" s="229"/>
      <c r="S1" s="230"/>
      <c r="T1" s="229"/>
      <c r="U1" s="230"/>
      <c r="V1" s="229"/>
      <c r="W1" s="231"/>
      <c r="X1" s="231"/>
      <c r="Y1" s="231"/>
      <c r="Z1" s="231"/>
    </row>
    <row r="2" spans="1:26" s="86" customFormat="1" ht="15.75" x14ac:dyDescent="0.5">
      <c r="A2" s="82" t="s">
        <v>26</v>
      </c>
      <c r="B2" s="83"/>
      <c r="C2" s="83"/>
      <c r="D2" s="84"/>
      <c r="E2" s="84"/>
      <c r="F2" s="84"/>
      <c r="G2" s="85" t="s">
        <v>27</v>
      </c>
      <c r="H2" s="83"/>
      <c r="I2" s="84"/>
      <c r="J2" s="84"/>
      <c r="K2" s="84"/>
      <c r="M2" s="84"/>
      <c r="N2" s="184" t="s">
        <v>210</v>
      </c>
      <c r="O2" s="185"/>
      <c r="P2" s="186">
        <v>1.0449999999999999</v>
      </c>
      <c r="Q2" s="185"/>
      <c r="R2" s="132"/>
      <c r="S2" s="204"/>
      <c r="T2" s="132"/>
      <c r="U2" s="204"/>
      <c r="V2" s="132"/>
    </row>
    <row r="3" spans="1:26" s="86" customFormat="1" x14ac:dyDescent="0.45">
      <c r="A3" s="88" t="s">
        <v>28</v>
      </c>
      <c r="B3" s="83"/>
      <c r="C3" s="83"/>
      <c r="D3" s="84"/>
      <c r="E3" s="84"/>
      <c r="F3" s="84"/>
      <c r="G3" s="84"/>
      <c r="H3" s="83"/>
      <c r="I3" s="84"/>
      <c r="J3" s="84"/>
      <c r="K3" s="84"/>
      <c r="L3" s="84"/>
      <c r="M3" s="84"/>
      <c r="N3" s="184" t="s">
        <v>211</v>
      </c>
      <c r="O3" s="201"/>
      <c r="P3" s="211">
        <v>1.0249999999999999</v>
      </c>
      <c r="Q3" s="185"/>
      <c r="R3" s="132"/>
      <c r="S3" s="204"/>
      <c r="T3" s="132"/>
      <c r="U3" s="204"/>
      <c r="V3" s="132"/>
    </row>
    <row r="4" spans="1:26" s="86" customFormat="1" x14ac:dyDescent="0.45">
      <c r="A4" s="89" t="s">
        <v>212</v>
      </c>
      <c r="B4" s="83"/>
      <c r="C4" s="83"/>
      <c r="D4" s="84"/>
      <c r="E4" s="84"/>
      <c r="F4" s="84"/>
      <c r="G4" s="84"/>
      <c r="H4" s="83"/>
      <c r="I4" s="84"/>
      <c r="J4" s="84"/>
      <c r="K4" s="84"/>
      <c r="L4" s="84"/>
      <c r="M4" s="84"/>
      <c r="N4" s="187" t="s">
        <v>186</v>
      </c>
      <c r="O4" s="188"/>
      <c r="P4" s="184" t="s">
        <v>213</v>
      </c>
      <c r="Q4" s="185"/>
      <c r="R4" s="132"/>
      <c r="S4" s="204"/>
      <c r="T4" s="132"/>
      <c r="U4" s="204"/>
      <c r="V4" s="132"/>
    </row>
    <row r="5" spans="1:26" s="86" customFormat="1" x14ac:dyDescent="0.45">
      <c r="A5" s="222" t="s">
        <v>188</v>
      </c>
      <c r="B5" s="83"/>
      <c r="C5" s="83"/>
      <c r="D5" s="84"/>
      <c r="E5" s="84"/>
      <c r="F5" s="84"/>
      <c r="G5" s="84"/>
      <c r="H5" s="83"/>
      <c r="I5" s="84"/>
      <c r="J5" s="84"/>
      <c r="K5" s="84"/>
      <c r="L5" s="84"/>
      <c r="M5" s="84"/>
      <c r="N5" s="187"/>
      <c r="O5" s="188"/>
      <c r="P5" s="184"/>
      <c r="Q5" s="185"/>
      <c r="R5" s="132"/>
      <c r="S5" s="204"/>
      <c r="T5" s="132"/>
      <c r="U5" s="204"/>
      <c r="V5" s="132"/>
    </row>
    <row r="6" spans="1:26" s="86" customFormat="1" x14ac:dyDescent="0.45">
      <c r="A6" s="221"/>
      <c r="B6" s="83"/>
      <c r="C6" s="83"/>
      <c r="D6" s="84"/>
      <c r="E6" s="84"/>
      <c r="F6" s="84"/>
      <c r="G6" s="84"/>
      <c r="H6" s="83"/>
      <c r="I6" s="84"/>
      <c r="J6" s="84"/>
      <c r="K6" s="84"/>
      <c r="L6" s="84"/>
      <c r="M6" s="84"/>
      <c r="N6" s="187"/>
      <c r="O6" s="188"/>
      <c r="P6" s="184"/>
      <c r="Q6" s="185"/>
      <c r="R6" s="132"/>
      <c r="S6" s="204"/>
      <c r="T6" s="132"/>
      <c r="U6" s="204"/>
      <c r="V6" s="132"/>
    </row>
    <row r="7" spans="1:26" s="86" customFormat="1" x14ac:dyDescent="0.45">
      <c r="A7" s="88" t="str">
        <f>"Group 1: (CPT) Permanent Employees ("&amp;TEXT(P2-100%,"##.0%")&amp;" increase)"</f>
        <v>Group 1: (CPT) Permanent Employees (4.5% increase)</v>
      </c>
      <c r="B7" s="83"/>
      <c r="C7" s="83"/>
      <c r="D7" s="84"/>
      <c r="E7" s="84"/>
      <c r="F7" s="84"/>
      <c r="G7" s="84"/>
      <c r="H7" s="83"/>
      <c r="I7" s="84"/>
      <c r="J7" s="84"/>
      <c r="K7" s="84"/>
      <c r="L7" s="84"/>
      <c r="M7" s="84"/>
      <c r="N7" s="187"/>
      <c r="O7" s="188"/>
      <c r="P7" s="184"/>
      <c r="Q7" s="185"/>
      <c r="R7" s="132"/>
      <c r="S7" s="204"/>
      <c r="T7" s="132"/>
      <c r="U7" s="204"/>
      <c r="V7" s="132"/>
    </row>
    <row r="8" spans="1:26" s="86" customFormat="1" ht="62.65" x14ac:dyDescent="0.45">
      <c r="A8" s="90" t="s">
        <v>31</v>
      </c>
      <c r="B8" s="91" t="s">
        <v>101</v>
      </c>
      <c r="C8" s="92" t="s">
        <v>102</v>
      </c>
      <c r="D8" s="91" t="s">
        <v>103</v>
      </c>
      <c r="E8" s="93" t="s">
        <v>12</v>
      </c>
      <c r="F8" s="93" t="s">
        <v>32</v>
      </c>
      <c r="G8" s="90" t="s">
        <v>104</v>
      </c>
      <c r="H8" s="90" t="s">
        <v>105</v>
      </c>
      <c r="I8" s="94"/>
      <c r="J8" s="94"/>
      <c r="K8" s="84"/>
      <c r="L8" s="84"/>
      <c r="M8" s="84"/>
      <c r="N8" s="189" t="s">
        <v>3</v>
      </c>
      <c r="O8" s="190" t="s">
        <v>190</v>
      </c>
      <c r="P8" s="191" t="s">
        <v>6</v>
      </c>
      <c r="Q8" s="192" t="s">
        <v>155</v>
      </c>
      <c r="R8" s="172" t="s">
        <v>3</v>
      </c>
      <c r="S8" s="179" t="s">
        <v>190</v>
      </c>
      <c r="T8" s="172" t="s">
        <v>191</v>
      </c>
      <c r="U8" s="176" t="s">
        <v>6</v>
      </c>
      <c r="V8" s="176" t="s">
        <v>155</v>
      </c>
    </row>
    <row r="9" spans="1:26" s="86" customFormat="1" x14ac:dyDescent="0.45">
      <c r="A9" s="83" t="s">
        <v>39</v>
      </c>
      <c r="B9" s="83" t="s">
        <v>19</v>
      </c>
      <c r="C9" s="84" t="s">
        <v>41</v>
      </c>
      <c r="D9" s="83">
        <v>293</v>
      </c>
      <c r="E9" s="83">
        <v>6</v>
      </c>
      <c r="F9" s="95" t="s">
        <v>22</v>
      </c>
      <c r="G9" s="83" t="s">
        <v>42</v>
      </c>
      <c r="H9" s="96">
        <f ca="1">Q9</f>
        <v>35.96087962499999</v>
      </c>
      <c r="I9" s="84"/>
      <c r="J9" s="84"/>
      <c r="K9" s="84"/>
      <c r="L9" s="84"/>
      <c r="M9" s="84"/>
      <c r="N9" s="187" t="str">
        <f>B9</f>
        <v>08310C</v>
      </c>
      <c r="O9" s="188" t="s">
        <v>192</v>
      </c>
      <c r="P9" s="193" t="s">
        <v>40</v>
      </c>
      <c r="Q9" s="194" cm="1">
        <f t="array" aca="1" ref="Q9" ca="1">IF(O9="Y",VLOOKUP(N9,INDIRECT(P$4),4,0)*INDIRECT(N$2),VLOOKUP(N9,INDIRECT(P$4),4,0))</f>
        <v>35.96087962499999</v>
      </c>
      <c r="R9" s="133" t="str">
        <f>N9</f>
        <v>08310C</v>
      </c>
      <c r="S9" s="175" t="str">
        <f>O9</f>
        <v>Y</v>
      </c>
      <c r="T9" s="133" t="str">
        <f>C9</f>
        <v>Production Technician I</v>
      </c>
      <c r="U9" s="205" t="str">
        <f>P9</f>
        <v>CPT 01</v>
      </c>
      <c r="V9" s="135">
        <f ca="1">ROUND(Q9,3)</f>
        <v>35.960999999999999</v>
      </c>
    </row>
    <row r="10" spans="1:26" s="86" customFormat="1" x14ac:dyDescent="0.45">
      <c r="A10" s="83" t="s">
        <v>39</v>
      </c>
      <c r="B10" s="83" t="s">
        <v>23</v>
      </c>
      <c r="C10" s="84" t="s">
        <v>44</v>
      </c>
      <c r="D10" s="83">
        <v>323</v>
      </c>
      <c r="E10" s="83">
        <v>7</v>
      </c>
      <c r="F10" s="95" t="s">
        <v>25</v>
      </c>
      <c r="G10" s="83" t="s">
        <v>42</v>
      </c>
      <c r="H10" s="96">
        <f ca="1">Q10</f>
        <v>40.038652499999998</v>
      </c>
      <c r="I10" s="84"/>
      <c r="J10" s="84"/>
      <c r="K10" s="84"/>
      <c r="L10" s="84"/>
      <c r="M10" s="84"/>
      <c r="N10" s="187" t="str">
        <f>B10</f>
        <v>08311C</v>
      </c>
      <c r="O10" s="188" t="s">
        <v>192</v>
      </c>
      <c r="P10" s="193" t="s">
        <v>148</v>
      </c>
      <c r="Q10" s="194" cm="1">
        <f t="array" aca="1" ref="Q10" ca="1">IF(O10="Y",VLOOKUP(N10,INDIRECT(P$4),4,0)*INDIRECT(N$2),VLOOKUP(N10,INDIRECT(P$4),4,0))</f>
        <v>40.038652499999998</v>
      </c>
      <c r="R10" s="133" t="str">
        <f t="shared" ref="R10:S10" si="0">N10</f>
        <v>08311C</v>
      </c>
      <c r="S10" s="175" t="str">
        <f t="shared" si="0"/>
        <v>Y</v>
      </c>
      <c r="T10" s="133" t="str">
        <f t="shared" ref="T10" si="1">C10</f>
        <v>Production Technician II</v>
      </c>
      <c r="U10" s="205" t="str">
        <f t="shared" ref="U10" si="2">P10</f>
        <v>CPT 02</v>
      </c>
      <c r="V10" s="135">
        <f t="shared" ref="V10" ca="1" si="3">ROUND(Q10,3)</f>
        <v>40.039000000000001</v>
      </c>
    </row>
    <row r="11" spans="1:26" s="86" customFormat="1" ht="9" customHeight="1" x14ac:dyDescent="0.45">
      <c r="A11" s="84"/>
      <c r="B11" s="84"/>
      <c r="C11" s="84"/>
      <c r="D11" s="84"/>
      <c r="E11" s="84"/>
      <c r="F11" s="83"/>
      <c r="G11" s="83"/>
      <c r="H11" s="83"/>
      <c r="I11" s="96"/>
      <c r="J11" s="84"/>
      <c r="K11" s="84"/>
      <c r="L11" s="84"/>
      <c r="M11" s="84"/>
      <c r="N11" s="187"/>
      <c r="O11" s="188"/>
      <c r="P11" s="184"/>
      <c r="Q11" s="194"/>
      <c r="R11" s="133"/>
      <c r="S11" s="175"/>
      <c r="T11" s="133"/>
      <c r="U11" s="205"/>
      <c r="V11" s="135"/>
    </row>
    <row r="12" spans="1:26" s="86" customFormat="1" ht="12" customHeight="1" x14ac:dyDescent="0.45">
      <c r="A12" s="88" t="s">
        <v>193</v>
      </c>
      <c r="B12" s="88"/>
      <c r="C12" s="88"/>
      <c r="E12" s="84"/>
      <c r="F12" s="83"/>
      <c r="G12" s="83" t="s">
        <v>42</v>
      </c>
      <c r="H12" s="96">
        <f ca="1">Q12</f>
        <v>13.964256624999997</v>
      </c>
      <c r="J12" s="84"/>
      <c r="K12" s="84"/>
      <c r="L12" s="84"/>
      <c r="M12" s="84"/>
      <c r="N12" s="195" t="s">
        <v>106</v>
      </c>
      <c r="O12" s="196" t="s">
        <v>192</v>
      </c>
      <c r="P12" s="197" t="s">
        <v>107</v>
      </c>
      <c r="Q12" s="194" cm="1">
        <f t="array" aca="1" ref="Q12" ca="1">IF(O12="Y",VLOOKUP(N12,INDIRECT(P$4),4,0)*INDIRECT(N$2),VLOOKUP(N12,INDIRECT(P$4),4,0))</f>
        <v>13.964256624999997</v>
      </c>
      <c r="R12" s="133" t="str">
        <f t="shared" ref="R12:S12" si="4">N12</f>
        <v>CPTPMR</v>
      </c>
      <c r="S12" s="175" t="str">
        <f t="shared" si="4"/>
        <v>Y</v>
      </c>
      <c r="T12" s="133" t="str">
        <f>P12</f>
        <v>TL-Premium Rigger-CPT</v>
      </c>
      <c r="U12" s="205"/>
      <c r="V12" s="135">
        <f t="shared" ref="V12" ca="1" si="5">ROUND(Q12,3)</f>
        <v>13.964</v>
      </c>
    </row>
    <row r="13" spans="1:26" s="86" customFormat="1" ht="12" customHeight="1" x14ac:dyDescent="0.45">
      <c r="A13" s="83"/>
      <c r="B13" s="85" t="s">
        <v>194</v>
      </c>
      <c r="C13" s="83"/>
      <c r="E13" s="84"/>
      <c r="F13" s="84"/>
      <c r="G13" s="83"/>
      <c r="H13" s="97"/>
      <c r="I13" s="84"/>
      <c r="J13" s="84"/>
      <c r="K13" s="84"/>
      <c r="L13" s="84"/>
      <c r="M13" s="84"/>
      <c r="N13" s="187"/>
      <c r="O13" s="188"/>
      <c r="P13" s="184"/>
      <c r="Q13" s="185"/>
      <c r="R13" s="132"/>
      <c r="S13" s="204"/>
      <c r="T13" s="132"/>
      <c r="U13" s="204"/>
      <c r="V13" s="132"/>
    </row>
    <row r="14" spans="1:26" s="86" customFormat="1" ht="12" customHeight="1" x14ac:dyDescent="0.45">
      <c r="A14" s="83"/>
      <c r="B14" s="85" t="s">
        <v>47</v>
      </c>
      <c r="C14" s="83"/>
      <c r="D14" s="85"/>
      <c r="E14" s="84"/>
      <c r="F14" s="84"/>
      <c r="G14" s="83"/>
      <c r="H14" s="97"/>
      <c r="I14" s="84"/>
      <c r="J14" s="84"/>
      <c r="K14" s="84"/>
      <c r="L14" s="84"/>
      <c r="M14" s="84"/>
      <c r="N14" s="187"/>
      <c r="O14" s="188"/>
      <c r="P14" s="184"/>
      <c r="Q14" s="185"/>
      <c r="R14" s="132"/>
      <c r="S14" s="204"/>
      <c r="T14" s="132"/>
      <c r="U14" s="204"/>
      <c r="V14" s="132"/>
    </row>
    <row r="15" spans="1:26" s="86" customFormat="1" ht="12" customHeight="1" x14ac:dyDescent="0.45">
      <c r="A15" s="83"/>
      <c r="B15" s="85"/>
      <c r="C15" s="83"/>
      <c r="D15" s="85"/>
      <c r="E15" s="84"/>
      <c r="F15" s="84"/>
      <c r="G15" s="83"/>
      <c r="H15" s="97"/>
      <c r="I15" s="84"/>
      <c r="J15" s="84"/>
      <c r="K15" s="84"/>
      <c r="L15" s="84"/>
      <c r="M15" s="84"/>
      <c r="N15" s="187"/>
      <c r="O15" s="188"/>
      <c r="P15" s="184"/>
      <c r="Q15" s="185"/>
      <c r="R15" s="132"/>
      <c r="S15" s="204"/>
      <c r="T15" s="132"/>
      <c r="U15" s="204"/>
      <c r="V15" s="132"/>
    </row>
    <row r="16" spans="1:26" s="86" customFormat="1" x14ac:dyDescent="0.45">
      <c r="A16" s="99" t="s">
        <v>195</v>
      </c>
      <c r="B16" s="84"/>
      <c r="C16" s="83"/>
      <c r="E16" s="84"/>
      <c r="F16" s="84"/>
      <c r="G16" s="83" t="s">
        <v>42</v>
      </c>
      <c r="H16" s="216">
        <f ca="1">Q16</f>
        <v>16.054256624999997</v>
      </c>
      <c r="I16" s="84"/>
      <c r="J16" s="84"/>
      <c r="K16" s="84"/>
      <c r="L16" s="84"/>
      <c r="M16" s="84"/>
      <c r="N16" s="187" t="s">
        <v>196</v>
      </c>
      <c r="O16" s="188" t="s">
        <v>192</v>
      </c>
      <c r="P16" s="184" t="s">
        <v>197</v>
      </c>
      <c r="Q16" s="194" cm="1">
        <f t="array" aca="1" ref="Q16" ca="1">IF(O16="Y",VLOOKUP(N16,INDIRECT(P$4),4,0)*INDIRECT(N$2),VLOOKUP(N16,INDIRECT(P$4),4,0))</f>
        <v>16.054256624999997</v>
      </c>
      <c r="R16" s="133" t="str">
        <f>N16</f>
        <v>CPTLRG</v>
      </c>
      <c r="S16" s="175" t="str">
        <f>O16</f>
        <v>Y</v>
      </c>
      <c r="T16" s="133" t="str">
        <f>P16</f>
        <v>TL-ETCP Premium Rigger-CPT</v>
      </c>
      <c r="U16" s="175"/>
      <c r="V16" s="135">
        <f ca="1">Q16</f>
        <v>16.054256624999997</v>
      </c>
    </row>
    <row r="17" spans="1:22" s="86" customFormat="1" x14ac:dyDescent="0.45">
      <c r="A17" s="84"/>
      <c r="B17" s="85" t="s">
        <v>198</v>
      </c>
      <c r="C17" s="83"/>
      <c r="E17" s="84"/>
      <c r="F17" s="84"/>
      <c r="G17" s="84"/>
      <c r="H17" s="83"/>
      <c r="I17" s="84"/>
      <c r="J17" s="84"/>
      <c r="K17" s="84"/>
      <c r="L17" s="84"/>
      <c r="M17" s="84"/>
      <c r="N17" s="187"/>
      <c r="O17" s="188"/>
      <c r="P17" s="184"/>
      <c r="Q17" s="185"/>
      <c r="R17" s="132"/>
      <c r="S17" s="204"/>
      <c r="T17" s="132"/>
      <c r="U17" s="204"/>
      <c r="V17" s="132"/>
    </row>
    <row r="18" spans="1:22" s="86" customFormat="1" x14ac:dyDescent="0.45">
      <c r="A18" s="84"/>
      <c r="B18" s="85" t="s">
        <v>199</v>
      </c>
      <c r="C18" s="83"/>
      <c r="D18" s="85"/>
      <c r="E18" s="84"/>
      <c r="F18" s="84"/>
      <c r="G18" s="84"/>
      <c r="H18" s="83"/>
      <c r="I18" s="84"/>
      <c r="J18" s="84"/>
      <c r="K18" s="84"/>
      <c r="L18" s="84"/>
      <c r="M18" s="84"/>
      <c r="N18" s="187"/>
      <c r="O18" s="188"/>
      <c r="P18" s="184"/>
      <c r="Q18" s="185"/>
      <c r="R18" s="132"/>
      <c r="S18" s="204"/>
      <c r="T18" s="132"/>
      <c r="U18" s="204"/>
      <c r="V18" s="132"/>
    </row>
    <row r="19" spans="1:22" s="86" customFormat="1" x14ac:dyDescent="0.45">
      <c r="A19" s="84"/>
      <c r="B19" s="85"/>
      <c r="C19" s="83"/>
      <c r="D19" s="85"/>
      <c r="E19" s="84"/>
      <c r="F19" s="84"/>
      <c r="G19" s="84"/>
      <c r="H19" s="83"/>
      <c r="I19" s="84"/>
      <c r="J19" s="84"/>
      <c r="K19" s="84"/>
      <c r="L19" s="84"/>
      <c r="M19" s="84"/>
      <c r="N19" s="187"/>
      <c r="O19" s="188"/>
      <c r="P19" s="184"/>
      <c r="Q19" s="185"/>
      <c r="R19" s="132"/>
      <c r="S19" s="204"/>
      <c r="T19" s="132"/>
      <c r="U19" s="204"/>
      <c r="V19" s="132"/>
    </row>
    <row r="20" spans="1:22" s="86" customFormat="1" ht="12" customHeight="1" x14ac:dyDescent="0.45">
      <c r="A20" s="99" t="s">
        <v>49</v>
      </c>
      <c r="B20" s="85"/>
      <c r="C20" s="83"/>
      <c r="D20" s="84"/>
      <c r="E20" s="84"/>
      <c r="F20" s="84"/>
      <c r="G20" s="84"/>
      <c r="H20" s="83"/>
      <c r="I20" s="84"/>
      <c r="J20" s="84"/>
      <c r="K20" s="84"/>
      <c r="L20" s="84"/>
      <c r="M20" s="84"/>
      <c r="N20" s="187"/>
      <c r="O20" s="188"/>
      <c r="P20" s="184"/>
      <c r="Q20" s="194"/>
      <c r="R20" s="132"/>
      <c r="S20" s="204"/>
      <c r="T20" s="132"/>
      <c r="U20" s="204"/>
      <c r="V20" s="132"/>
    </row>
    <row r="21" spans="1:22" s="86" customFormat="1" ht="12" customHeight="1" x14ac:dyDescent="0.45">
      <c r="A21" s="100" t="str">
        <f ca="1">"A "&amp;TEXT(Q21,"$#.000")&amp;" per hour shift differential be paid for shifts that start between the hours of 5:00 p.m. and 4:00 a.m."</f>
        <v>A $2.225 per hour shift differential be paid for shifts that start between the hours of 5:00 p.m. and 4:00 a.m.</v>
      </c>
      <c r="B21" s="100"/>
      <c r="C21" s="100"/>
      <c r="D21" s="100"/>
      <c r="E21" s="100"/>
      <c r="F21" s="100"/>
      <c r="G21" s="100"/>
      <c r="H21" s="100"/>
      <c r="I21" s="100"/>
      <c r="J21" s="100"/>
      <c r="K21" s="101"/>
      <c r="L21" s="102"/>
      <c r="M21" s="84"/>
      <c r="N21" s="195" t="s">
        <v>108</v>
      </c>
      <c r="O21" s="196" t="s">
        <v>192</v>
      </c>
      <c r="P21" s="197" t="s">
        <v>109</v>
      </c>
      <c r="Q21" s="194" cm="1">
        <f t="array" aca="1" ref="Q21" ca="1">IF(O21="Y",VLOOKUP(N21,INDIRECT(P$4),4,0)*INDIRECT(N$2),VLOOKUP(N21,INDIRECT(P$4),4,0))</f>
        <v>2.2247266249999997</v>
      </c>
      <c r="R21" s="133" t="str">
        <f t="shared" ref="R21:S21" si="6">N21</f>
        <v>CPTEVE</v>
      </c>
      <c r="S21" s="175" t="str">
        <f t="shared" si="6"/>
        <v>Y</v>
      </c>
      <c r="T21" s="133" t="str">
        <f>P21</f>
        <v>TL-Evening Shift Premium-CPT</v>
      </c>
      <c r="U21" s="205"/>
      <c r="V21" s="135">
        <f t="shared" ref="V21" ca="1" si="7">ROUND(Q21,3)</f>
        <v>2.2250000000000001</v>
      </c>
    </row>
    <row r="22" spans="1:22" s="86" customFormat="1" ht="12" customHeight="1" x14ac:dyDescent="0.45">
      <c r="A22" s="84"/>
      <c r="B22" s="85"/>
      <c r="C22" s="96"/>
      <c r="D22" s="84"/>
      <c r="E22" s="84"/>
      <c r="F22" s="84"/>
      <c r="G22" s="84"/>
      <c r="H22" s="83"/>
      <c r="I22" s="84"/>
      <c r="J22" s="84"/>
      <c r="K22" s="101"/>
      <c r="L22" s="102"/>
      <c r="M22" s="84"/>
      <c r="N22" s="187"/>
      <c r="O22" s="188"/>
      <c r="P22" s="184"/>
      <c r="Q22" s="185"/>
      <c r="R22" s="132"/>
      <c r="S22" s="204"/>
      <c r="T22" s="132"/>
      <c r="U22" s="204"/>
      <c r="V22" s="132"/>
    </row>
    <row r="23" spans="1:22" s="86" customFormat="1" x14ac:dyDescent="0.45">
      <c r="A23" s="100" t="str">
        <f ca="1">"A "&amp;TEXT(Q23,"$#.000")&amp;" per hour shift differential be paid for shifts that start between the hours of 5:00 a.m. and 6:00 a.m., "</f>
        <v xml:space="preserve">A $1.148 per hour shift differential be paid for shifts that start between the hours of 5:00 a.m. and 6:00 a.m., </v>
      </c>
      <c r="B23" s="100"/>
      <c r="C23" s="100"/>
      <c r="D23" s="100"/>
      <c r="E23" s="100"/>
      <c r="F23" s="100"/>
      <c r="G23" s="100"/>
      <c r="H23" s="100"/>
      <c r="I23" s="100"/>
      <c r="J23" s="100"/>
      <c r="K23" s="101"/>
      <c r="L23" s="102"/>
      <c r="M23" s="84"/>
      <c r="N23" s="195" t="s">
        <v>110</v>
      </c>
      <c r="O23" s="196" t="s">
        <v>192</v>
      </c>
      <c r="P23" s="197" t="s">
        <v>111</v>
      </c>
      <c r="Q23" s="194" cm="1">
        <f t="array" aca="1" ref="Q23" ca="1">IF(O23="Y",VLOOKUP(N23,INDIRECT(P$4),4,0)*INDIRECT(N$2),VLOOKUP(N23,INDIRECT(P$4),4,0))</f>
        <v>1.1482459999999999</v>
      </c>
      <c r="R23" s="133" t="str">
        <f t="shared" ref="R23:T24" si="8">N23</f>
        <v>CPTAM1</v>
      </c>
      <c r="S23" s="175" t="str">
        <f t="shared" si="8"/>
        <v>Y</v>
      </c>
      <c r="T23" s="133" t="str">
        <f t="shared" si="8"/>
        <v>TL-Morning Shift Premium CPT</v>
      </c>
      <c r="U23" s="205"/>
      <c r="V23" s="135">
        <f t="shared" ref="V23:V24" ca="1" si="9">ROUND(Q23,3)</f>
        <v>1.1479999999999999</v>
      </c>
    </row>
    <row r="24" spans="1:22" s="103" customFormat="1" ht="15" customHeight="1" x14ac:dyDescent="0.45">
      <c r="A24" s="103" t="s">
        <v>112</v>
      </c>
      <c r="N24" s="195" t="s">
        <v>113</v>
      </c>
      <c r="O24" s="196" t="s">
        <v>192</v>
      </c>
      <c r="P24" s="197" t="s">
        <v>107</v>
      </c>
      <c r="Q24" s="194" cm="1">
        <f t="array" aca="1" ref="Q24" ca="1">IF(O24="Y",VLOOKUP(N24,INDIRECT(P$4),4,0)*INDIRECT(N$2),VLOOKUP(N24,INDIRECT(P$4),4,0))</f>
        <v>1.1482459999999999</v>
      </c>
      <c r="R24" s="133" t="str">
        <f t="shared" si="8"/>
        <v>CPTNIT</v>
      </c>
      <c r="S24" s="175" t="str">
        <f t="shared" si="8"/>
        <v>Y</v>
      </c>
      <c r="T24" s="133" t="str">
        <f t="shared" si="8"/>
        <v>TL-Premium Rigger-CPT</v>
      </c>
      <c r="U24" s="205"/>
      <c r="V24" s="135">
        <f t="shared" ca="1" si="9"/>
        <v>1.1479999999999999</v>
      </c>
    </row>
    <row r="25" spans="1:22" s="103" customFormat="1" ht="15" customHeight="1" x14ac:dyDescent="0.45">
      <c r="N25" s="184"/>
      <c r="O25" s="185"/>
      <c r="P25" s="184"/>
      <c r="Q25" s="185"/>
      <c r="R25" s="133"/>
      <c r="S25" s="175"/>
      <c r="T25" s="133"/>
      <c r="U25" s="175"/>
      <c r="V25" s="133"/>
    </row>
    <row r="26" spans="1:22" s="86" customFormat="1" ht="12" customHeight="1" x14ac:dyDescent="0.45">
      <c r="A26" s="99" t="s">
        <v>85</v>
      </c>
      <c r="B26" s="84"/>
      <c r="C26" s="96"/>
      <c r="D26" s="84"/>
      <c r="E26" s="84"/>
      <c r="F26" s="84"/>
      <c r="G26" s="84"/>
      <c r="H26" s="83"/>
      <c r="I26" s="84"/>
      <c r="J26" s="84"/>
      <c r="K26" s="101"/>
      <c r="L26" s="84"/>
      <c r="M26" s="84"/>
      <c r="N26" s="187"/>
      <c r="O26" s="188"/>
      <c r="P26" s="184"/>
      <c r="Q26" s="185"/>
      <c r="R26" s="132"/>
      <c r="S26" s="204"/>
      <c r="T26" s="132"/>
      <c r="U26" s="204"/>
      <c r="V26" s="132"/>
    </row>
    <row r="27" spans="1:22" s="86" customFormat="1" ht="18.75" customHeight="1" x14ac:dyDescent="0.45">
      <c r="A27" s="100" t="str">
        <f ca="1">"A "&amp;TEXT(Q27,"$#.000")&amp;" per hour premium be paid for each hour worked as an employer-designated Lead Worker."</f>
        <v>A $1.484 per hour premium be paid for each hour worked as an employer-designated Lead Worker.</v>
      </c>
      <c r="B27" s="100"/>
      <c r="C27" s="100"/>
      <c r="D27" s="100"/>
      <c r="E27" s="100"/>
      <c r="F27" s="100"/>
      <c r="G27" s="100"/>
      <c r="H27" s="100"/>
      <c r="I27" s="100"/>
      <c r="J27" s="100"/>
      <c r="K27" s="101"/>
      <c r="L27" s="102"/>
      <c r="M27" s="84"/>
      <c r="N27" s="195" t="s">
        <v>114</v>
      </c>
      <c r="O27" s="196" t="s">
        <v>192</v>
      </c>
      <c r="P27" s="197" t="s">
        <v>115</v>
      </c>
      <c r="Q27" s="194" cm="1">
        <f t="array" aca="1" ref="Q27" ca="1">IF(O27="Y",VLOOKUP(N27,INDIRECT(P$4),4,0)*INDIRECT(N$2),VLOOKUP(N27,INDIRECT(P$4),4,0))</f>
        <v>1.4835081249999997</v>
      </c>
      <c r="R27" s="133" t="str">
        <f t="shared" ref="R27:S27" si="10">N27</f>
        <v>CPTLDS</v>
      </c>
      <c r="S27" s="175" t="str">
        <f t="shared" si="10"/>
        <v>Y</v>
      </c>
      <c r="T27" s="133" t="str">
        <f>P27</f>
        <v>TL-Lead Prem (Substitute)-CPT</v>
      </c>
      <c r="U27" s="205"/>
      <c r="V27" s="135">
        <f t="shared" ref="V27" ca="1" si="11">ROUND(Q27,3)</f>
        <v>1.484</v>
      </c>
    </row>
    <row r="28" spans="1:22" s="86" customFormat="1" ht="12" customHeight="1" x14ac:dyDescent="0.45">
      <c r="A28" s="85"/>
      <c r="B28" s="85"/>
      <c r="C28" s="96"/>
      <c r="D28" s="84"/>
      <c r="E28" s="84"/>
      <c r="F28" s="84"/>
      <c r="G28" s="84"/>
      <c r="H28" s="83"/>
      <c r="I28" s="84"/>
      <c r="J28" s="84"/>
      <c r="K28" s="101"/>
      <c r="L28" s="84"/>
      <c r="M28" s="84"/>
      <c r="N28" s="187"/>
      <c r="O28" s="188"/>
      <c r="P28" s="184"/>
      <c r="Q28" s="185"/>
      <c r="R28" s="132"/>
      <c r="S28" s="204"/>
      <c r="T28" s="132"/>
      <c r="U28" s="204"/>
      <c r="V28" s="132"/>
    </row>
    <row r="29" spans="1:22" s="86" customFormat="1" ht="17.25" customHeight="1" x14ac:dyDescent="0.45">
      <c r="A29" s="104" t="s">
        <v>55</v>
      </c>
      <c r="B29" s="104"/>
      <c r="C29" s="104"/>
      <c r="D29" s="104"/>
      <c r="E29" s="104"/>
      <c r="F29" s="104"/>
      <c r="G29" s="104"/>
      <c r="H29" s="104"/>
      <c r="I29" s="104"/>
      <c r="J29" s="104"/>
      <c r="K29" s="101"/>
      <c r="L29" s="84"/>
      <c r="M29" s="84"/>
      <c r="N29" s="187"/>
      <c r="O29" s="188"/>
      <c r="P29" s="184"/>
      <c r="Q29" s="185"/>
      <c r="R29" s="132"/>
      <c r="S29" s="204"/>
      <c r="T29" s="132"/>
      <c r="U29" s="204"/>
      <c r="V29" s="132"/>
    </row>
    <row r="30" spans="1:22" s="86" customFormat="1" ht="16.5" customHeight="1" x14ac:dyDescent="0.45">
      <c r="A30" s="100" t="s">
        <v>56</v>
      </c>
      <c r="B30" s="100"/>
      <c r="C30" s="100"/>
      <c r="D30" s="100"/>
      <c r="E30" s="100"/>
      <c r="F30" s="100"/>
      <c r="G30" s="100"/>
      <c r="H30" s="100"/>
      <c r="I30" s="100"/>
      <c r="J30" s="100"/>
      <c r="K30" s="101"/>
      <c r="L30" s="84"/>
      <c r="M30" s="84"/>
      <c r="N30" s="189" t="s">
        <v>116</v>
      </c>
      <c r="O30" s="190" t="s">
        <v>190</v>
      </c>
      <c r="P30" s="191"/>
      <c r="Q30" s="192" t="s">
        <v>155</v>
      </c>
      <c r="R30" s="172" t="s">
        <v>116</v>
      </c>
      <c r="S30" s="179" t="s">
        <v>190</v>
      </c>
      <c r="T30" s="173"/>
      <c r="U30" s="132"/>
      <c r="V30" s="176" t="s">
        <v>155</v>
      </c>
    </row>
    <row r="31" spans="1:22" s="86" customFormat="1" ht="16.5" customHeight="1" x14ac:dyDescent="0.45">
      <c r="A31" s="84"/>
      <c r="B31" s="96">
        <f ca="1">Q31</f>
        <v>0.16816662499999999</v>
      </c>
      <c r="C31" s="85" t="s">
        <v>57</v>
      </c>
      <c r="D31" s="85"/>
      <c r="E31" s="85"/>
      <c r="F31" s="85"/>
      <c r="G31" s="85"/>
      <c r="H31" s="85"/>
      <c r="I31" s="85"/>
      <c r="J31" s="85"/>
      <c r="K31" s="101"/>
      <c r="L31" s="84"/>
      <c r="M31" s="84"/>
      <c r="N31" s="187" t="s">
        <v>117</v>
      </c>
      <c r="O31" s="188" t="s">
        <v>192</v>
      </c>
      <c r="P31" s="184"/>
      <c r="Q31" s="194" cm="1">
        <f t="array" aca="1" ref="Q31" ca="1">IF(O31="Y",VLOOKUP(N31,INDIRECT(P$4),4,0)*INDIRECT(N$2),VLOOKUP(N31,INDIRECT(P$4),4,0))</f>
        <v>0.16816662499999999</v>
      </c>
      <c r="R31" s="133" t="str">
        <f t="shared" ref="R31:S34" si="12">N31</f>
        <v>10th Year</v>
      </c>
      <c r="S31" s="175" t="str">
        <f t="shared" si="12"/>
        <v>Y</v>
      </c>
      <c r="T31" s="133"/>
      <c r="U31" s="205"/>
      <c r="V31" s="135">
        <f t="shared" ref="V31:V34" ca="1" si="13">ROUND(Q31,3)</f>
        <v>0.16800000000000001</v>
      </c>
    </row>
    <row r="32" spans="1:22" s="86" customFormat="1" ht="16.5" customHeight="1" x14ac:dyDescent="0.45">
      <c r="A32" s="84"/>
      <c r="B32" s="96">
        <f t="shared" ref="B32:B34" ca="1" si="14">Q32</f>
        <v>0.37489374999999991</v>
      </c>
      <c r="C32" s="100" t="s">
        <v>58</v>
      </c>
      <c r="D32" s="100"/>
      <c r="E32" s="100"/>
      <c r="F32" s="100"/>
      <c r="G32" s="100"/>
      <c r="H32" s="100"/>
      <c r="I32" s="100"/>
      <c r="J32" s="100"/>
      <c r="K32" s="101"/>
      <c r="L32" s="84"/>
      <c r="M32" s="84"/>
      <c r="N32" s="187" t="s">
        <v>118</v>
      </c>
      <c r="O32" s="188" t="s">
        <v>192</v>
      </c>
      <c r="P32" s="184"/>
      <c r="Q32" s="194" cm="1">
        <f t="array" aca="1" ref="Q32" ca="1">IF(O32="Y",VLOOKUP(N32,INDIRECT(P$4),4,0)*INDIRECT(N$2),VLOOKUP(N32,INDIRECT(P$4),4,0))</f>
        <v>0.37489374999999991</v>
      </c>
      <c r="R32" s="133" t="str">
        <f t="shared" si="12"/>
        <v>15th Year</v>
      </c>
      <c r="S32" s="175" t="str">
        <f t="shared" si="12"/>
        <v>Y</v>
      </c>
      <c r="T32" s="133"/>
      <c r="U32" s="205"/>
      <c r="V32" s="135">
        <f t="shared" ca="1" si="13"/>
        <v>0.375</v>
      </c>
    </row>
    <row r="33" spans="1:25" s="86" customFormat="1" ht="16.5" customHeight="1" x14ac:dyDescent="0.45">
      <c r="A33" s="84"/>
      <c r="B33" s="96">
        <f t="shared" ca="1" si="14"/>
        <v>0.45629924999999988</v>
      </c>
      <c r="C33" s="100" t="s">
        <v>59</v>
      </c>
      <c r="D33" s="100"/>
      <c r="E33" s="100"/>
      <c r="F33" s="100"/>
      <c r="G33" s="100"/>
      <c r="H33" s="100"/>
      <c r="I33" s="100"/>
      <c r="J33" s="100"/>
      <c r="K33" s="101"/>
      <c r="L33" s="84"/>
      <c r="M33" s="84"/>
      <c r="N33" s="187" t="s">
        <v>119</v>
      </c>
      <c r="O33" s="188" t="s">
        <v>192</v>
      </c>
      <c r="P33" s="184"/>
      <c r="Q33" s="194" cm="1">
        <f t="array" aca="1" ref="Q33" ca="1">IF(O33="Y",VLOOKUP(N33,INDIRECT(P$4),4,0)*INDIRECT(N$2),VLOOKUP(N33,INDIRECT(P$4),4,0))</f>
        <v>0.45629924999999988</v>
      </c>
      <c r="R33" s="133" t="str">
        <f t="shared" si="12"/>
        <v>20th Year</v>
      </c>
      <c r="S33" s="175" t="str">
        <f t="shared" si="12"/>
        <v>Y</v>
      </c>
      <c r="T33" s="133"/>
      <c r="U33" s="205"/>
      <c r="V33" s="135">
        <f t="shared" ca="1" si="13"/>
        <v>0.45600000000000002</v>
      </c>
    </row>
    <row r="34" spans="1:25" s="86" customFormat="1" ht="16.5" customHeight="1" x14ac:dyDescent="0.45">
      <c r="A34" s="84"/>
      <c r="B34" s="96">
        <f t="shared" ca="1" si="14"/>
        <v>0.79477474999999986</v>
      </c>
      <c r="C34" s="100" t="s">
        <v>60</v>
      </c>
      <c r="D34" s="100"/>
      <c r="E34" s="100"/>
      <c r="F34" s="100"/>
      <c r="G34" s="100"/>
      <c r="H34" s="100"/>
      <c r="I34" s="100"/>
      <c r="J34" s="100"/>
      <c r="K34" s="101"/>
      <c r="L34" s="84"/>
      <c r="M34" s="84"/>
      <c r="N34" s="187" t="s">
        <v>120</v>
      </c>
      <c r="O34" s="188" t="s">
        <v>192</v>
      </c>
      <c r="P34" s="184"/>
      <c r="Q34" s="194" cm="1">
        <f t="array" aca="1" ref="Q34" ca="1">IF(O34="Y",VLOOKUP(N34,INDIRECT(P$4),4,0)*INDIRECT(N$2),VLOOKUP(N34,INDIRECT(P$4),4,0))</f>
        <v>0.79477474999999986</v>
      </c>
      <c r="R34" s="133" t="str">
        <f t="shared" si="12"/>
        <v>25th Year</v>
      </c>
      <c r="S34" s="175" t="str">
        <f t="shared" si="12"/>
        <v>Y</v>
      </c>
      <c r="T34" s="133"/>
      <c r="U34" s="205"/>
      <c r="V34" s="135">
        <f t="shared" ca="1" si="13"/>
        <v>0.79500000000000004</v>
      </c>
    </row>
    <row r="35" spans="1:25" s="86" customFormat="1" ht="10.5" customHeight="1" thickBot="1" x14ac:dyDescent="0.5">
      <c r="A35" s="168"/>
      <c r="B35" s="169"/>
      <c r="C35" s="170"/>
      <c r="D35" s="170"/>
      <c r="E35" s="168"/>
      <c r="F35" s="168"/>
      <c r="G35" s="168"/>
      <c r="H35" s="170"/>
      <c r="I35" s="168"/>
      <c r="J35" s="168"/>
      <c r="K35" s="101"/>
      <c r="L35" s="84"/>
      <c r="M35" s="84"/>
      <c r="N35" s="187"/>
      <c r="O35" s="188"/>
      <c r="P35" s="184"/>
      <c r="Q35" s="185"/>
      <c r="R35" s="132"/>
      <c r="S35" s="204"/>
      <c r="T35" s="132"/>
      <c r="U35" s="204"/>
      <c r="V35" s="132"/>
    </row>
    <row r="36" spans="1:25" s="86" customFormat="1" ht="20.25" customHeight="1" x14ac:dyDescent="0.45">
      <c r="A36" s="99" t="str">
        <f>"Group 2: (CST) Temporary Employees ("&amp;TEXT(P3-100%,"##.0%")&amp;" increase)"</f>
        <v>Group 2: (CST) Temporary Employees (2.5% increase)</v>
      </c>
      <c r="B36" s="101"/>
      <c r="C36" s="107"/>
      <c r="D36" s="107"/>
      <c r="E36" s="101"/>
      <c r="F36" s="101"/>
      <c r="G36" s="101"/>
      <c r="H36" s="107"/>
      <c r="I36" s="101"/>
      <c r="J36" s="101"/>
      <c r="K36" s="101"/>
      <c r="L36" s="84"/>
      <c r="M36" s="84"/>
      <c r="N36" s="187"/>
      <c r="O36" s="188"/>
      <c r="P36" s="184"/>
      <c r="Q36" s="185"/>
      <c r="R36" s="132"/>
      <c r="S36" s="204"/>
      <c r="T36" s="132"/>
      <c r="U36" s="204"/>
      <c r="V36" s="132"/>
    </row>
    <row r="37" spans="1:25" s="86" customFormat="1" ht="62.65" x14ac:dyDescent="0.45">
      <c r="A37" s="91" t="s">
        <v>2</v>
      </c>
      <c r="B37" s="91" t="s">
        <v>101</v>
      </c>
      <c r="C37" s="92" t="s">
        <v>102</v>
      </c>
      <c r="D37" s="91" t="s">
        <v>103</v>
      </c>
      <c r="E37" s="93" t="s">
        <v>12</v>
      </c>
      <c r="F37" s="93" t="s">
        <v>32</v>
      </c>
      <c r="G37" s="90" t="s">
        <v>104</v>
      </c>
      <c r="H37" s="91" t="s">
        <v>62</v>
      </c>
      <c r="I37" s="108" t="s">
        <v>63</v>
      </c>
      <c r="J37" s="94"/>
      <c r="K37" s="109"/>
      <c r="L37" s="101"/>
      <c r="M37" s="84"/>
      <c r="N37" s="189" t="s">
        <v>3</v>
      </c>
      <c r="O37" s="190" t="s">
        <v>190</v>
      </c>
      <c r="P37" s="191" t="s">
        <v>6</v>
      </c>
      <c r="Q37" s="192" t="s">
        <v>155</v>
      </c>
      <c r="R37" s="172" t="s">
        <v>3</v>
      </c>
      <c r="S37" s="179" t="s">
        <v>190</v>
      </c>
      <c r="T37" s="173" t="s">
        <v>6</v>
      </c>
      <c r="U37" s="132"/>
      <c r="V37" s="176" t="s">
        <v>155</v>
      </c>
      <c r="W37" s="111"/>
      <c r="X37" s="113"/>
      <c r="Y37" s="114"/>
    </row>
    <row r="38" spans="1:25" s="86" customFormat="1" x14ac:dyDescent="0.45">
      <c r="A38" s="83" t="s">
        <v>39</v>
      </c>
      <c r="B38" s="83" t="s">
        <v>65</v>
      </c>
      <c r="C38" s="85" t="s">
        <v>66</v>
      </c>
      <c r="D38" s="83">
        <v>248</v>
      </c>
      <c r="E38" s="83">
        <v>5</v>
      </c>
      <c r="F38" s="95" t="s">
        <v>22</v>
      </c>
      <c r="G38" s="83" t="s">
        <v>42</v>
      </c>
      <c r="H38" s="96" t="s">
        <v>67</v>
      </c>
      <c r="I38" s="96">
        <f ca="1">Q38</f>
        <v>27.657657</v>
      </c>
      <c r="J38" s="84"/>
      <c r="K38" s="84"/>
      <c r="L38" s="84"/>
      <c r="M38" s="84"/>
      <c r="N38" s="184" t="str">
        <f>B38</f>
        <v>09300C</v>
      </c>
      <c r="O38" s="185" t="s">
        <v>192</v>
      </c>
      <c r="P38" s="198" t="s">
        <v>64</v>
      </c>
      <c r="Q38" s="194" cm="1">
        <f t="array" aca="1" ref="Q38" ca="1">IF(O38="Y",VLOOKUP(N38,INDIRECT(P$4),4,0)*INDIRECT(N$3),VLOOKUP(N38,INDIRECT(P$4),4,0))</f>
        <v>27.657657</v>
      </c>
      <c r="R38" s="133" t="str">
        <f t="shared" ref="R38:S41" si="15">N38</f>
        <v>09300C</v>
      </c>
      <c r="S38" s="175" t="str">
        <f t="shared" si="15"/>
        <v>Y</v>
      </c>
      <c r="T38" s="133"/>
      <c r="U38" s="205"/>
      <c r="V38" s="135">
        <f t="shared" ref="V38:V41" ca="1" si="16">ROUND(Q38,3)</f>
        <v>27.658000000000001</v>
      </c>
      <c r="W38" s="120"/>
      <c r="X38" s="120"/>
      <c r="Y38" s="119"/>
    </row>
    <row r="39" spans="1:25" s="86" customFormat="1" ht="15" customHeight="1" x14ac:dyDescent="0.45">
      <c r="A39" s="83"/>
      <c r="B39" s="83" t="s">
        <v>62</v>
      </c>
      <c r="C39" s="85" t="s">
        <v>68</v>
      </c>
      <c r="D39" s="84"/>
      <c r="E39" s="84"/>
      <c r="F39" s="84"/>
      <c r="G39" s="83" t="s">
        <v>42</v>
      </c>
      <c r="H39" s="96">
        <f ca="1">Q69</f>
        <v>1.8819000000000006</v>
      </c>
      <c r="I39" s="96">
        <f ca="1">Q39</f>
        <v>29.539557000000002</v>
      </c>
      <c r="J39" s="84"/>
      <c r="K39" s="84"/>
      <c r="L39" s="84"/>
      <c r="M39" s="84"/>
      <c r="N39" s="199" t="s">
        <v>149</v>
      </c>
      <c r="O39" s="200" t="s">
        <v>192</v>
      </c>
      <c r="P39" s="198"/>
      <c r="Q39" s="194" cm="1">
        <f t="array" aca="1" ref="Q39" ca="1">IF(O39="Y",VLOOKUP(N39,INDIRECT(P$4),4,0)*INDIRECT(N$3),VLOOKUP(N39,INDIRECT(P$4),4,0))</f>
        <v>29.539557000000002</v>
      </c>
      <c r="R39" s="133" t="str">
        <f t="shared" si="15"/>
        <v>Step 2</v>
      </c>
      <c r="S39" s="175" t="str">
        <f t="shared" si="15"/>
        <v>Y</v>
      </c>
      <c r="T39" s="133"/>
      <c r="U39" s="205"/>
      <c r="V39" s="135">
        <f t="shared" ca="1" si="16"/>
        <v>29.54</v>
      </c>
      <c r="W39" s="120"/>
      <c r="X39" s="120"/>
      <c r="Y39" s="119"/>
    </row>
    <row r="40" spans="1:25" s="86" customFormat="1" x14ac:dyDescent="0.45">
      <c r="A40" s="83"/>
      <c r="B40" s="83" t="s">
        <v>62</v>
      </c>
      <c r="C40" s="85" t="s">
        <v>69</v>
      </c>
      <c r="D40" s="84"/>
      <c r="E40" s="84"/>
      <c r="F40" s="84"/>
      <c r="G40" s="83" t="s">
        <v>42</v>
      </c>
      <c r="H40" s="96">
        <f ca="1">Q67</f>
        <v>6.9243464999999969</v>
      </c>
      <c r="I40" s="96">
        <f ca="1">Q40</f>
        <v>34.582003499999999</v>
      </c>
      <c r="J40" s="84"/>
      <c r="K40" s="84"/>
      <c r="L40" s="84"/>
      <c r="M40" s="84"/>
      <c r="N40" s="199" t="s">
        <v>150</v>
      </c>
      <c r="O40" s="200" t="s">
        <v>192</v>
      </c>
      <c r="P40" s="198"/>
      <c r="Q40" s="194" cm="1">
        <f t="array" aca="1" ref="Q40" ca="1">IF(O40="Y",VLOOKUP(N40,INDIRECT(P$4),4,0)*INDIRECT(N$3),VLOOKUP(N40,INDIRECT(P$4),4,0))</f>
        <v>34.582003499999999</v>
      </c>
      <c r="R40" s="133" t="str">
        <f t="shared" si="15"/>
        <v>Step 3</v>
      </c>
      <c r="S40" s="175" t="str">
        <f t="shared" si="15"/>
        <v>Y</v>
      </c>
      <c r="T40" s="133"/>
      <c r="U40" s="205"/>
      <c r="V40" s="135">
        <f t="shared" ca="1" si="16"/>
        <v>34.582000000000001</v>
      </c>
      <c r="W40" s="125"/>
      <c r="X40" s="125"/>
    </row>
    <row r="41" spans="1:25" s="86" customFormat="1" x14ac:dyDescent="0.45">
      <c r="A41" s="83"/>
      <c r="B41" s="83" t="s">
        <v>62</v>
      </c>
      <c r="C41" s="85" t="s">
        <v>70</v>
      </c>
      <c r="D41" s="84"/>
      <c r="E41" s="84"/>
      <c r="F41" s="84"/>
      <c r="G41" s="83" t="s">
        <v>42</v>
      </c>
      <c r="H41" s="96">
        <f ca="1">Q64</f>
        <v>17.212066500000002</v>
      </c>
      <c r="I41" s="96">
        <f ca="1">Q41</f>
        <v>44.869723499999999</v>
      </c>
      <c r="J41" s="171"/>
      <c r="K41" s="84"/>
      <c r="L41" s="84"/>
      <c r="M41" s="84"/>
      <c r="N41" s="187" t="s">
        <v>151</v>
      </c>
      <c r="O41" s="185" t="s">
        <v>192</v>
      </c>
      <c r="P41" s="198"/>
      <c r="Q41" s="194" cm="1">
        <f t="array" aca="1" ref="Q41" ca="1">IF(O41="Y",VLOOKUP(N41,INDIRECT(P$4),4,0)*INDIRECT(N$3),VLOOKUP(N41,INDIRECT(P$4),4,0))</f>
        <v>44.869723499999999</v>
      </c>
      <c r="R41" s="133" t="str">
        <f t="shared" si="15"/>
        <v>Step 4</v>
      </c>
      <c r="S41" s="175" t="str">
        <f t="shared" si="15"/>
        <v>Y</v>
      </c>
      <c r="T41" s="133"/>
      <c r="U41" s="205"/>
      <c r="V41" s="135">
        <f t="shared" ca="1" si="16"/>
        <v>44.87</v>
      </c>
      <c r="W41" s="125"/>
      <c r="X41" s="125"/>
    </row>
    <row r="42" spans="1:25" s="86" customFormat="1" x14ac:dyDescent="0.45">
      <c r="A42" s="84"/>
      <c r="B42" s="83"/>
      <c r="C42" s="126" t="s">
        <v>71</v>
      </c>
      <c r="D42" s="84"/>
      <c r="E42" s="84"/>
      <c r="F42" s="84"/>
      <c r="G42" s="84"/>
      <c r="H42" s="84"/>
      <c r="I42" s="84"/>
      <c r="J42" s="84"/>
      <c r="K42" s="84"/>
      <c r="L42" s="84"/>
      <c r="M42" s="84"/>
      <c r="N42" s="187"/>
      <c r="O42" s="185"/>
      <c r="P42" s="184"/>
      <c r="Q42" s="185"/>
      <c r="R42" s="132"/>
      <c r="S42" s="204"/>
      <c r="T42" s="132"/>
      <c r="U42" s="204"/>
      <c r="V42" s="132"/>
    </row>
    <row r="43" spans="1:25" s="86" customFormat="1" x14ac:dyDescent="0.45">
      <c r="A43" s="84"/>
      <c r="B43" s="83" t="s">
        <v>62</v>
      </c>
      <c r="C43" s="85" t="s">
        <v>72</v>
      </c>
      <c r="D43" s="84"/>
      <c r="E43" s="84"/>
      <c r="F43" s="84"/>
      <c r="G43" s="83" t="s">
        <v>73</v>
      </c>
      <c r="H43" s="96">
        <f ca="1">Q61</f>
        <v>8.1590820000000015</v>
      </c>
      <c r="I43" s="96">
        <f ca="1">Q43</f>
        <v>35.816739000000005</v>
      </c>
      <c r="J43" s="84"/>
      <c r="K43" s="84"/>
      <c r="L43" s="171"/>
      <c r="M43" s="84"/>
      <c r="N43" s="187" t="s">
        <v>152</v>
      </c>
      <c r="O43" s="185" t="s">
        <v>192</v>
      </c>
      <c r="P43" s="198"/>
      <c r="Q43" s="194" cm="1">
        <f t="array" aca="1" ref="Q43" ca="1">IF(O43="Y",VLOOKUP(N43,INDIRECT(P$4),4,0)*INDIRECT(N$3),VLOOKUP(N43,INDIRECT(P$4),4,0))</f>
        <v>35.816739000000005</v>
      </c>
      <c r="R43" s="133" t="str">
        <f t="shared" ref="R43:S43" si="17">N43</f>
        <v>Step 5</v>
      </c>
      <c r="S43" s="175" t="str">
        <f t="shared" si="17"/>
        <v>Y</v>
      </c>
      <c r="T43" s="133"/>
      <c r="U43" s="205"/>
      <c r="V43" s="135">
        <f t="shared" ref="V43" ca="1" si="18">ROUND(Q43,3)</f>
        <v>35.817</v>
      </c>
      <c r="W43" s="127"/>
      <c r="X43" s="125"/>
    </row>
    <row r="44" spans="1:25" s="86" customFormat="1" x14ac:dyDescent="0.45">
      <c r="A44" s="84"/>
      <c r="B44" s="84"/>
      <c r="C44" s="83"/>
      <c r="D44" s="85"/>
      <c r="E44" s="84"/>
      <c r="F44" s="84"/>
      <c r="G44" s="83"/>
      <c r="H44" s="96"/>
      <c r="I44" s="96"/>
      <c r="J44" s="84"/>
      <c r="K44" s="84"/>
      <c r="L44" s="84"/>
      <c r="M44" s="84"/>
      <c r="N44" s="187"/>
      <c r="O44" s="188"/>
      <c r="P44" s="198"/>
      <c r="Q44" s="194"/>
      <c r="R44" s="206"/>
      <c r="S44" s="204"/>
      <c r="T44" s="206"/>
      <c r="U44" s="204"/>
      <c r="V44" s="204"/>
      <c r="W44" s="127"/>
      <c r="X44" s="125"/>
    </row>
    <row r="45" spans="1:25" s="86" customFormat="1" ht="29.25" customHeight="1" x14ac:dyDescent="0.45">
      <c r="A45" s="242" t="s">
        <v>137</v>
      </c>
      <c r="B45" s="242"/>
      <c r="C45" s="242"/>
      <c r="D45" s="242"/>
      <c r="E45" s="242"/>
      <c r="F45" s="242"/>
      <c r="G45" s="242"/>
      <c r="H45" s="242"/>
      <c r="I45" s="242"/>
      <c r="J45" s="242"/>
      <c r="K45" s="84"/>
      <c r="L45" s="84"/>
      <c r="M45" s="84"/>
      <c r="N45" s="201"/>
      <c r="O45" s="201"/>
      <c r="P45" s="201"/>
      <c r="Q45" s="212"/>
      <c r="R45" s="132"/>
      <c r="S45" s="132"/>
      <c r="T45" s="132"/>
      <c r="U45" s="132"/>
      <c r="V45" s="132"/>
      <c r="W45" s="127"/>
      <c r="X45" s="125"/>
    </row>
    <row r="46" spans="1:25" s="86" customFormat="1" x14ac:dyDescent="0.45">
      <c r="A46" s="223"/>
      <c r="B46" s="223"/>
      <c r="C46" s="223"/>
      <c r="D46" s="223"/>
      <c r="E46" s="223"/>
      <c r="F46" s="223"/>
      <c r="G46" s="223"/>
      <c r="H46" s="223"/>
      <c r="I46" s="223"/>
      <c r="J46" s="223"/>
      <c r="K46" s="84"/>
      <c r="L46" s="84"/>
      <c r="M46" s="84"/>
      <c r="N46" s="201"/>
      <c r="O46" s="201"/>
      <c r="P46" s="201"/>
      <c r="Q46" s="212"/>
      <c r="R46" s="132"/>
      <c r="S46" s="132"/>
      <c r="T46" s="132"/>
      <c r="U46" s="132"/>
      <c r="V46" s="132"/>
      <c r="W46" s="127"/>
      <c r="X46" s="125"/>
    </row>
    <row r="47" spans="1:25" s="86" customFormat="1" x14ac:dyDescent="0.45">
      <c r="A47" s="99" t="s">
        <v>195</v>
      </c>
      <c r="B47" s="84"/>
      <c r="C47" s="83"/>
      <c r="E47" s="84"/>
      <c r="F47" s="84"/>
      <c r="G47" s="83" t="s">
        <v>42</v>
      </c>
      <c r="H47" s="216">
        <f ca="1">Q72</f>
        <v>19.2620665</v>
      </c>
      <c r="I47" s="171">
        <f ca="1">Q47</f>
        <v>46.919723500000003</v>
      </c>
      <c r="J47" s="84"/>
      <c r="K47" s="84"/>
      <c r="L47" s="84"/>
      <c r="M47" s="84"/>
      <c r="N47" s="187"/>
      <c r="O47" s="188"/>
      <c r="P47" s="184"/>
      <c r="Q47" s="194">
        <f ca="1">Q72+Q38</f>
        <v>46.919723500000003</v>
      </c>
      <c r="R47" s="133"/>
      <c r="S47" s="175"/>
      <c r="T47" s="133"/>
      <c r="U47" s="175"/>
      <c r="V47" s="135"/>
    </row>
    <row r="48" spans="1:25" s="86" customFormat="1" x14ac:dyDescent="0.45">
      <c r="A48" s="84"/>
      <c r="B48" s="85" t="s">
        <v>200</v>
      </c>
      <c r="C48" s="83"/>
      <c r="E48" s="84"/>
      <c r="F48" s="84"/>
      <c r="G48" s="84"/>
      <c r="H48" s="83"/>
      <c r="I48" s="84"/>
      <c r="J48" s="84"/>
      <c r="K48" s="84"/>
      <c r="L48" s="84"/>
      <c r="M48" s="84"/>
      <c r="N48" s="187"/>
      <c r="O48" s="188"/>
      <c r="P48" s="184"/>
      <c r="Q48" s="185"/>
      <c r="R48" s="132"/>
      <c r="S48" s="204"/>
      <c r="T48" s="132"/>
      <c r="U48" s="204"/>
      <c r="V48" s="132"/>
    </row>
    <row r="49" spans="1:24" s="86" customFormat="1" x14ac:dyDescent="0.45">
      <c r="A49" s="84"/>
      <c r="B49" s="85" t="s">
        <v>199</v>
      </c>
      <c r="C49" s="83"/>
      <c r="D49" s="85"/>
      <c r="E49" s="84"/>
      <c r="F49" s="84"/>
      <c r="G49" s="84"/>
      <c r="H49" s="83"/>
      <c r="I49" s="84"/>
      <c r="J49" s="84"/>
      <c r="K49" s="84"/>
      <c r="L49" s="84"/>
      <c r="M49" s="84"/>
      <c r="N49" s="187"/>
      <c r="O49" s="188"/>
      <c r="P49" s="184"/>
      <c r="Q49" s="185"/>
      <c r="R49" s="132"/>
      <c r="S49" s="204"/>
      <c r="T49" s="132"/>
      <c r="U49" s="204"/>
      <c r="V49" s="132"/>
    </row>
    <row r="50" spans="1:24" s="86" customFormat="1" ht="14.25" customHeight="1" x14ac:dyDescent="0.45">
      <c r="A50" s="128"/>
      <c r="B50" s="105"/>
      <c r="C50" s="106"/>
      <c r="D50" s="128"/>
      <c r="E50" s="105"/>
      <c r="F50" s="105"/>
      <c r="G50" s="106"/>
      <c r="H50" s="129"/>
      <c r="I50" s="129"/>
      <c r="J50" s="105"/>
      <c r="K50" s="84"/>
      <c r="L50" s="84"/>
      <c r="M50" s="84"/>
      <c r="N50" s="201"/>
      <c r="O50" s="201"/>
      <c r="P50" s="201"/>
      <c r="Q50" s="212"/>
      <c r="R50" s="132"/>
      <c r="S50" s="132"/>
      <c r="T50" s="132"/>
      <c r="U50" s="132"/>
      <c r="V50" s="132"/>
      <c r="W50" s="127"/>
      <c r="X50" s="125"/>
    </row>
    <row r="51" spans="1:24" s="86" customFormat="1" x14ac:dyDescent="0.45">
      <c r="A51" s="99"/>
      <c r="C51" s="84"/>
      <c r="D51" s="84"/>
      <c r="E51" s="84"/>
      <c r="F51" s="84"/>
      <c r="G51" s="84"/>
      <c r="H51" s="84"/>
      <c r="I51" s="84"/>
      <c r="J51" s="84"/>
      <c r="K51" s="84"/>
      <c r="L51" s="84"/>
      <c r="M51" s="84"/>
      <c r="N51" s="201"/>
      <c r="O51" s="201"/>
      <c r="P51" s="201"/>
      <c r="Q51" s="212"/>
      <c r="R51" s="132"/>
      <c r="S51" s="132"/>
      <c r="T51" s="132"/>
      <c r="U51" s="132"/>
      <c r="V51" s="132"/>
    </row>
    <row r="52" spans="1:24" s="86" customFormat="1" ht="15" customHeight="1" x14ac:dyDescent="0.45">
      <c r="A52" s="242" t="str">
        <f>"In addition to the above wage rates for Temporary Employees, the Employer shall make contributions to the IATSE Health and Welfare Plan"</f>
        <v>In addition to the above wage rates for Temporary Employees, the Employer shall make contributions to the IATSE Health and Welfare Plan</v>
      </c>
      <c r="B52" s="242"/>
      <c r="C52" s="242"/>
      <c r="D52" s="242"/>
      <c r="E52" s="242"/>
      <c r="F52" s="242"/>
      <c r="G52" s="242"/>
      <c r="H52" s="242"/>
      <c r="I52" s="242"/>
      <c r="J52" s="242"/>
      <c r="K52" s="84"/>
      <c r="L52" s="84"/>
      <c r="M52" s="84"/>
      <c r="N52" s="184" t="s">
        <v>201</v>
      </c>
      <c r="O52" s="201"/>
      <c r="P52" s="201"/>
      <c r="Q52" s="213">
        <v>0.12</v>
      </c>
      <c r="R52" s="133" t="str">
        <f>N52</f>
        <v>IATSE H&amp;W</v>
      </c>
      <c r="S52" s="133"/>
      <c r="T52" s="133"/>
      <c r="U52" s="133"/>
      <c r="V52" s="218">
        <f>Q52</f>
        <v>0.12</v>
      </c>
    </row>
    <row r="53" spans="1:24" s="86" customFormat="1" x14ac:dyDescent="0.45">
      <c r="A53" s="84" t="str">
        <f>"sponsored by the Union for the benefit of its members. Such contributions shall be made at the rate of "&amp;TEXT(Q52,"###.0%")&amp;" of gross wages."</f>
        <v>sponsored by the Union for the benefit of its members. Such contributions shall be made at the rate of 12.0% of gross wages.</v>
      </c>
      <c r="C53" s="84"/>
      <c r="D53" s="84"/>
      <c r="E53" s="84"/>
      <c r="F53" s="84"/>
      <c r="G53" s="84"/>
      <c r="H53" s="84"/>
      <c r="I53" s="84"/>
      <c r="J53" s="84"/>
      <c r="K53" s="84"/>
      <c r="L53" s="84"/>
      <c r="M53" s="84"/>
      <c r="N53" s="201"/>
      <c r="O53" s="201"/>
      <c r="P53" s="201"/>
      <c r="Q53" s="212"/>
      <c r="R53" s="132"/>
      <c r="S53" s="132"/>
      <c r="T53" s="132"/>
      <c r="U53" s="132"/>
      <c r="V53" s="132"/>
    </row>
    <row r="54" spans="1:24" s="86" customFormat="1" x14ac:dyDescent="0.45">
      <c r="A54" s="84"/>
      <c r="C54" s="84"/>
      <c r="D54" s="84"/>
      <c r="E54" s="84"/>
      <c r="F54" s="84"/>
      <c r="G54" s="84"/>
      <c r="H54" s="84"/>
      <c r="I54" s="84"/>
      <c r="J54" s="84"/>
      <c r="K54" s="84"/>
      <c r="L54" s="84"/>
      <c r="M54" s="84"/>
      <c r="N54" s="201"/>
      <c r="O54" s="201"/>
      <c r="P54" s="201"/>
      <c r="Q54" s="212"/>
      <c r="R54" s="132"/>
      <c r="S54" s="132"/>
      <c r="T54" s="132"/>
      <c r="U54" s="132"/>
      <c r="V54" s="132"/>
    </row>
    <row r="55" spans="1:24" s="86" customFormat="1" x14ac:dyDescent="0.45">
      <c r="A55" s="99" t="s">
        <v>93</v>
      </c>
      <c r="C55" s="84"/>
      <c r="D55" s="84"/>
      <c r="E55" s="84"/>
      <c r="F55" s="84"/>
      <c r="G55" s="84"/>
      <c r="H55" s="84"/>
      <c r="I55" s="84"/>
      <c r="J55" s="84"/>
      <c r="K55" s="84"/>
      <c r="L55" s="84"/>
      <c r="M55" s="84"/>
      <c r="N55" s="201"/>
      <c r="O55" s="201"/>
      <c r="P55" s="201"/>
      <c r="Q55" s="212"/>
      <c r="R55" s="132"/>
      <c r="S55" s="132"/>
      <c r="T55" s="132"/>
      <c r="U55" s="132"/>
      <c r="V55" s="132"/>
    </row>
    <row r="56" spans="1:24" s="86" customFormat="1" x14ac:dyDescent="0.45">
      <c r="A56" s="242" t="s">
        <v>202</v>
      </c>
      <c r="B56" s="242"/>
      <c r="C56" s="242"/>
      <c r="D56" s="242"/>
      <c r="E56" s="242"/>
      <c r="F56" s="242"/>
      <c r="G56" s="242"/>
      <c r="H56" s="242"/>
      <c r="I56" s="242"/>
      <c r="J56" s="242"/>
      <c r="K56" s="84"/>
      <c r="L56" s="84"/>
      <c r="M56" s="84"/>
      <c r="N56" s="201"/>
      <c r="O56" s="201"/>
      <c r="P56" s="201"/>
      <c r="Q56" s="212"/>
      <c r="R56" s="132"/>
      <c r="S56" s="132"/>
      <c r="T56" s="132"/>
      <c r="U56" s="132"/>
      <c r="V56" s="132"/>
    </row>
    <row r="57" spans="1:24" s="86" customFormat="1" x14ac:dyDescent="0.45">
      <c r="A57" s="85" t="str">
        <f>"Trust, sponsored by the Union for the benefit of its members. Such contributions shall be made at the rate of "&amp;TEXT(Q57,"##.0%")&amp;" of gross wages."</f>
        <v>Trust, sponsored by the Union for the benefit of its members. Such contributions shall be made at the rate of 6.0% of gross wages.</v>
      </c>
      <c r="B57" s="223"/>
      <c r="C57" s="223"/>
      <c r="D57" s="223"/>
      <c r="E57" s="223"/>
      <c r="F57" s="223"/>
      <c r="G57" s="223"/>
      <c r="H57" s="223"/>
      <c r="I57" s="223"/>
      <c r="J57" s="223"/>
      <c r="K57" s="84"/>
      <c r="L57" s="84"/>
      <c r="M57" s="84"/>
      <c r="N57" s="184" t="s">
        <v>203</v>
      </c>
      <c r="O57" s="201"/>
      <c r="P57" s="201"/>
      <c r="Q57" s="213">
        <v>0.06</v>
      </c>
      <c r="R57" s="133" t="str">
        <f>N57</f>
        <v>IATSE Retirement</v>
      </c>
      <c r="S57" s="133"/>
      <c r="T57" s="133"/>
      <c r="U57" s="133"/>
      <c r="V57" s="218">
        <f>Q57</f>
        <v>0.06</v>
      </c>
    </row>
    <row r="58" spans="1:24" s="86" customFormat="1" x14ac:dyDescent="0.45">
      <c r="A58" s="85"/>
      <c r="B58" s="223"/>
      <c r="C58" s="223"/>
      <c r="D58" s="223"/>
      <c r="E58" s="223"/>
      <c r="F58" s="223"/>
      <c r="G58" s="223"/>
      <c r="H58" s="223"/>
      <c r="I58" s="223"/>
      <c r="J58" s="223"/>
      <c r="K58" s="84"/>
      <c r="L58" s="84"/>
      <c r="M58" s="84"/>
      <c r="N58" s="184"/>
      <c r="O58" s="201"/>
      <c r="P58" s="201"/>
      <c r="Q58" s="214"/>
      <c r="R58" s="132"/>
      <c r="S58" s="132"/>
      <c r="T58" s="132"/>
      <c r="U58" s="132"/>
      <c r="V58" s="132"/>
    </row>
    <row r="59" spans="1:24" s="86" customFormat="1" x14ac:dyDescent="0.45">
      <c r="A59" s="84"/>
      <c r="C59" s="84"/>
      <c r="D59" s="84"/>
      <c r="E59" s="84"/>
      <c r="F59" s="84"/>
      <c r="G59" s="84"/>
      <c r="H59" s="84"/>
      <c r="I59" s="84"/>
      <c r="J59" s="84"/>
      <c r="K59" s="84"/>
      <c r="L59" s="84"/>
      <c r="M59" s="84"/>
      <c r="N59" s="189" t="s">
        <v>156</v>
      </c>
      <c r="O59" s="190"/>
      <c r="P59" s="191" t="s">
        <v>157</v>
      </c>
      <c r="Q59" s="192" t="s">
        <v>155</v>
      </c>
      <c r="R59" s="172" t="s">
        <v>156</v>
      </c>
      <c r="S59" s="179" t="s">
        <v>190</v>
      </c>
      <c r="T59" s="173" t="s">
        <v>157</v>
      </c>
      <c r="U59" s="132"/>
      <c r="V59" s="176" t="s">
        <v>155</v>
      </c>
    </row>
    <row r="60" spans="1:24" s="86" customFormat="1" x14ac:dyDescent="0.45">
      <c r="A60" s="84"/>
      <c r="C60" s="84"/>
      <c r="D60" s="84"/>
      <c r="E60" s="84"/>
      <c r="F60" s="84"/>
      <c r="G60" s="84"/>
      <c r="H60" s="84"/>
      <c r="I60" s="84"/>
      <c r="J60" s="84"/>
      <c r="K60" s="84"/>
      <c r="L60" s="84"/>
      <c r="M60" s="84"/>
      <c r="N60" s="202" t="s">
        <v>158</v>
      </c>
      <c r="O60" s="203" t="s">
        <v>192</v>
      </c>
      <c r="P60" s="202" t="s">
        <v>159</v>
      </c>
      <c r="Q60" s="194" cm="1">
        <f t="array" aca="1" ref="Q60" ca="1">IF(O60="Y",VLOOKUP(N60,INDIRECT(P$4),4,0)*INDIRECT(N$3),VLOOKUP(N60,INDIRECT(P$4),4,0))</f>
        <v>8.1590820000000015</v>
      </c>
      <c r="R60" s="207" t="str">
        <f t="shared" ref="R60:T71" si="19">N60</f>
        <v>LDD</v>
      </c>
      <c r="S60" s="208" t="str">
        <f t="shared" si="19"/>
        <v>Y</v>
      </c>
      <c r="T60" s="207" t="str">
        <f>P60</f>
        <v>Perfm 3 Stagehands/Dbl/</v>
      </c>
      <c r="U60" s="209"/>
      <c r="V60" s="210">
        <f t="shared" ref="V60:V71" ca="1" si="20">ROUND(Q60,3)</f>
        <v>8.1590000000000007</v>
      </c>
    </row>
    <row r="61" spans="1:24" s="86" customFormat="1" x14ac:dyDescent="0.45">
      <c r="A61" s="84"/>
      <c r="C61" s="84"/>
      <c r="D61" s="84"/>
      <c r="E61" s="84"/>
      <c r="F61" s="84"/>
      <c r="G61" s="84"/>
      <c r="H61" s="84"/>
      <c r="I61" s="84"/>
      <c r="J61" s="84"/>
      <c r="K61" s="84"/>
      <c r="L61" s="84"/>
      <c r="M61" s="84"/>
      <c r="N61" s="202" t="s">
        <v>160</v>
      </c>
      <c r="O61" s="203" t="s">
        <v>192</v>
      </c>
      <c r="P61" s="202" t="s">
        <v>161</v>
      </c>
      <c r="Q61" s="194" cm="1">
        <f t="array" aca="1" ref="Q61" ca="1">IF(O61="Y",VLOOKUP(N61,INDIRECT(P$4),4,0)*INDIRECT(N$3),VLOOKUP(N61,INDIRECT(P$4),4,0))</f>
        <v>8.1590820000000015</v>
      </c>
      <c r="R61" s="207" t="str">
        <f t="shared" si="19"/>
        <v>LDR</v>
      </c>
      <c r="S61" s="208" t="str">
        <f t="shared" si="19"/>
        <v>Y</v>
      </c>
      <c r="T61" s="207" t="str">
        <f t="shared" si="19"/>
        <v>Perfm 3 Stagehands</v>
      </c>
      <c r="U61" s="209"/>
      <c r="V61" s="210">
        <f t="shared" ca="1" si="20"/>
        <v>8.1590000000000007</v>
      </c>
    </row>
    <row r="62" spans="1:24" s="86" customFormat="1" x14ac:dyDescent="0.45">
      <c r="A62" s="84"/>
      <c r="B62" s="84"/>
      <c r="C62" s="84"/>
      <c r="D62" s="84"/>
      <c r="E62" s="84"/>
      <c r="F62" s="84"/>
      <c r="G62" s="84"/>
      <c r="H62" s="84"/>
      <c r="I62" s="84"/>
      <c r="J62" s="84"/>
      <c r="K62" s="84"/>
      <c r="L62" s="84"/>
      <c r="M62" s="84"/>
      <c r="N62" s="202" t="s">
        <v>162</v>
      </c>
      <c r="O62" s="203" t="s">
        <v>192</v>
      </c>
      <c r="P62" s="202" t="s">
        <v>163</v>
      </c>
      <c r="Q62" s="194" cm="1">
        <f t="array" aca="1" ref="Q62" ca="1">IF(O62="Y",VLOOKUP(N62,INDIRECT(P$4),4,0)*INDIRECT(N$3),VLOOKUP(N62,INDIRECT(P$4),4,0))</f>
        <v>8.1590820000000015</v>
      </c>
      <c r="R62" s="207" t="str">
        <f t="shared" si="19"/>
        <v>LDT</v>
      </c>
      <c r="S62" s="208" t="str">
        <f t="shared" si="19"/>
        <v>Y</v>
      </c>
      <c r="T62" s="207" t="str">
        <f t="shared" si="19"/>
        <v>Perfm 3 Stagehands/1.5/</v>
      </c>
      <c r="U62" s="209"/>
      <c r="V62" s="210">
        <f t="shared" ca="1" si="20"/>
        <v>8.1590000000000007</v>
      </c>
    </row>
    <row r="63" spans="1:24" s="86" customFormat="1" x14ac:dyDescent="0.45">
      <c r="A63" s="89"/>
      <c r="B63" s="101"/>
      <c r="C63" s="107"/>
      <c r="D63" s="107"/>
      <c r="E63" s="84"/>
      <c r="F63" s="84"/>
      <c r="G63" s="84"/>
      <c r="H63" s="84"/>
      <c r="I63" s="84"/>
      <c r="J63" s="84"/>
      <c r="K63" s="84"/>
      <c r="L63" s="84"/>
      <c r="M63" s="84"/>
      <c r="N63" s="202" t="s">
        <v>164</v>
      </c>
      <c r="O63" s="203" t="s">
        <v>192</v>
      </c>
      <c r="P63" s="202" t="s">
        <v>165</v>
      </c>
      <c r="Q63" s="194" cm="1">
        <f t="array" aca="1" ref="Q63" ca="1">IF(O63="Y",VLOOKUP(N63,INDIRECT(P$4),4,0)*INDIRECT(N$3),VLOOKUP(N63,INDIRECT(P$4),4,0))</f>
        <v>17.212066500000002</v>
      </c>
      <c r="R63" s="207" t="str">
        <f t="shared" si="19"/>
        <v>RTD</v>
      </c>
      <c r="S63" s="208" t="str">
        <f t="shared" si="19"/>
        <v>Y</v>
      </c>
      <c r="T63" s="207" t="str">
        <f t="shared" si="19"/>
        <v>L13 Tmp Rig Prm Dbl Hrs/</v>
      </c>
      <c r="U63" s="209"/>
      <c r="V63" s="210">
        <f t="shared" ca="1" si="20"/>
        <v>17.212</v>
      </c>
    </row>
    <row r="64" spans="1:24" s="86" customFormat="1" x14ac:dyDescent="0.45">
      <c r="A64" s="99"/>
      <c r="B64" s="83"/>
      <c r="C64" s="83"/>
      <c r="D64" s="84"/>
      <c r="E64" s="84"/>
      <c r="F64" s="84"/>
      <c r="G64" s="84"/>
      <c r="H64" s="84"/>
      <c r="I64" s="84"/>
      <c r="J64" s="84"/>
      <c r="K64" s="84"/>
      <c r="L64" s="84"/>
      <c r="M64" s="84"/>
      <c r="N64" s="202" t="s">
        <v>166</v>
      </c>
      <c r="O64" s="203" t="s">
        <v>192</v>
      </c>
      <c r="P64" s="202" t="s">
        <v>167</v>
      </c>
      <c r="Q64" s="194" cm="1">
        <f t="array" aca="1" ref="Q64" ca="1">IF(O64="Y",VLOOKUP(N64,INDIRECT(P$4),4,0)*INDIRECT(N$3),VLOOKUP(N64,INDIRECT(P$4),4,0))</f>
        <v>17.212066500000002</v>
      </c>
      <c r="R64" s="207" t="str">
        <f t="shared" si="19"/>
        <v>RTG</v>
      </c>
      <c r="S64" s="208" t="str">
        <f t="shared" si="19"/>
        <v>Y</v>
      </c>
      <c r="T64" s="207" t="str">
        <f t="shared" si="19"/>
        <v>L13 Tmp Rig Prm Reg Hrs/</v>
      </c>
      <c r="U64" s="209"/>
      <c r="V64" s="210">
        <f t="shared" ca="1" si="20"/>
        <v>17.212</v>
      </c>
    </row>
    <row r="65" spans="1:22" s="86" customFormat="1" x14ac:dyDescent="0.45">
      <c r="A65" s="84"/>
      <c r="B65" s="84"/>
      <c r="C65" s="84"/>
      <c r="D65" s="84"/>
      <c r="E65" s="84"/>
      <c r="F65" s="84"/>
      <c r="G65" s="84"/>
      <c r="H65" s="84"/>
      <c r="I65" s="84"/>
      <c r="J65" s="84"/>
      <c r="K65" s="84"/>
      <c r="L65" s="84"/>
      <c r="M65" s="84"/>
      <c r="N65" s="202" t="s">
        <v>168</v>
      </c>
      <c r="O65" s="203" t="s">
        <v>192</v>
      </c>
      <c r="P65" s="202" t="s">
        <v>169</v>
      </c>
      <c r="Q65" s="194" cm="1">
        <f t="array" aca="1" ref="Q65" ca="1">IF(O65="Y",VLOOKUP(N65,INDIRECT(P$4),4,0)*INDIRECT(N$3),VLOOKUP(N65,INDIRECT(P$4),4,0))</f>
        <v>17.212066500000002</v>
      </c>
      <c r="R65" s="207" t="str">
        <f t="shared" si="19"/>
        <v>RTT</v>
      </c>
      <c r="S65" s="208" t="str">
        <f t="shared" si="19"/>
        <v>Y</v>
      </c>
      <c r="T65" s="207" t="str">
        <f t="shared" si="19"/>
        <v>L13Tmp Rig Pm 1 1/2 Hrs/</v>
      </c>
      <c r="U65" s="209"/>
      <c r="V65" s="210">
        <f t="shared" ca="1" si="20"/>
        <v>17.212</v>
      </c>
    </row>
    <row r="66" spans="1:22" s="86" customFormat="1" x14ac:dyDescent="0.45">
      <c r="A66" s="84"/>
      <c r="B66" s="84"/>
      <c r="C66" s="84"/>
      <c r="D66" s="84"/>
      <c r="E66" s="84"/>
      <c r="F66" s="84"/>
      <c r="G66" s="84"/>
      <c r="H66" s="84"/>
      <c r="I66" s="84"/>
      <c r="J66" s="84"/>
      <c r="K66" s="84"/>
      <c r="L66" s="84"/>
      <c r="M66" s="84"/>
      <c r="N66" s="202" t="s">
        <v>170</v>
      </c>
      <c r="O66" s="203" t="s">
        <v>192</v>
      </c>
      <c r="P66" s="202" t="s">
        <v>171</v>
      </c>
      <c r="Q66" s="194" cm="1">
        <f t="array" aca="1" ref="Q66" ca="1">IF(O66="Y",VLOOKUP(N66,INDIRECT(P$4),4,0)*INDIRECT(N$3),VLOOKUP(N66,INDIRECT(P$4),4,0))</f>
        <v>6.9243464999999969</v>
      </c>
      <c r="R66" s="207" t="str">
        <f t="shared" si="19"/>
        <v>SPD</v>
      </c>
      <c r="S66" s="208" t="str">
        <f t="shared" si="19"/>
        <v>Y</v>
      </c>
      <c r="T66" s="207" t="str">
        <f t="shared" si="19"/>
        <v>Perfm 2 Stagehands/Dbl/</v>
      </c>
      <c r="U66" s="209"/>
      <c r="V66" s="210">
        <f t="shared" ca="1" si="20"/>
        <v>6.9240000000000004</v>
      </c>
    </row>
    <row r="67" spans="1:22" s="86" customFormat="1" x14ac:dyDescent="0.45">
      <c r="A67" s="84"/>
      <c r="B67" s="84"/>
      <c r="C67" s="84"/>
      <c r="D67" s="84"/>
      <c r="E67" s="84"/>
      <c r="F67" s="84"/>
      <c r="G67" s="84"/>
      <c r="H67" s="84"/>
      <c r="I67" s="84"/>
      <c r="J67" s="84"/>
      <c r="K67" s="84"/>
      <c r="L67" s="84"/>
      <c r="M67" s="84"/>
      <c r="N67" s="202" t="s">
        <v>172</v>
      </c>
      <c r="O67" s="203" t="s">
        <v>192</v>
      </c>
      <c r="P67" s="202" t="s">
        <v>173</v>
      </c>
      <c r="Q67" s="194" cm="1">
        <f t="array" aca="1" ref="Q67" ca="1">IF(O67="Y",VLOOKUP(N67,INDIRECT(P$4),4,0)*INDIRECT(N$3),VLOOKUP(N67,INDIRECT(P$4),4,0))</f>
        <v>6.9243464999999969</v>
      </c>
      <c r="R67" s="207" t="str">
        <f t="shared" si="19"/>
        <v>SPR</v>
      </c>
      <c r="S67" s="208" t="str">
        <f t="shared" si="19"/>
        <v>Y</v>
      </c>
      <c r="T67" s="207" t="str">
        <f t="shared" si="19"/>
        <v>Perfm 2 Stagehands/</v>
      </c>
      <c r="U67" s="209"/>
      <c r="V67" s="210">
        <f t="shared" ca="1" si="20"/>
        <v>6.9240000000000004</v>
      </c>
    </row>
    <row r="68" spans="1:22" s="86" customFormat="1" x14ac:dyDescent="0.45">
      <c r="A68" s="84"/>
      <c r="B68" s="84"/>
      <c r="C68" s="84"/>
      <c r="D68" s="84"/>
      <c r="E68" s="84"/>
      <c r="F68" s="84"/>
      <c r="G68" s="84"/>
      <c r="H68" s="84"/>
      <c r="I68" s="84"/>
      <c r="J68" s="84"/>
      <c r="K68" s="84"/>
      <c r="L68" s="84"/>
      <c r="M68" s="84"/>
      <c r="N68" s="202" t="s">
        <v>174</v>
      </c>
      <c r="O68" s="203" t="s">
        <v>192</v>
      </c>
      <c r="P68" s="202" t="s">
        <v>175</v>
      </c>
      <c r="Q68" s="194" cm="1">
        <f t="array" aca="1" ref="Q68" ca="1">IF(O68="Y",VLOOKUP(N68,INDIRECT(P$4),4,0)*INDIRECT(N$3),VLOOKUP(N68,INDIRECT(P$4),4,0))</f>
        <v>6.9243464999999969</v>
      </c>
      <c r="R68" s="207" t="str">
        <f t="shared" si="19"/>
        <v>SPT</v>
      </c>
      <c r="S68" s="208" t="str">
        <f t="shared" si="19"/>
        <v>Y</v>
      </c>
      <c r="T68" s="207" t="str">
        <f t="shared" si="19"/>
        <v>Perfm 2 Stagehands/1.5/</v>
      </c>
      <c r="U68" s="209"/>
      <c r="V68" s="210">
        <f t="shared" ca="1" si="20"/>
        <v>6.9240000000000004</v>
      </c>
    </row>
    <row r="69" spans="1:22" s="86" customFormat="1" x14ac:dyDescent="0.45">
      <c r="A69" s="84"/>
      <c r="B69" s="84"/>
      <c r="C69" s="84"/>
      <c r="D69" s="84"/>
      <c r="E69" s="84"/>
      <c r="F69" s="84"/>
      <c r="G69" s="84"/>
      <c r="H69" s="84"/>
      <c r="I69" s="84"/>
      <c r="J69" s="84"/>
      <c r="K69" s="84"/>
      <c r="L69" s="84"/>
      <c r="M69" s="84"/>
      <c r="N69" s="202" t="s">
        <v>176</v>
      </c>
      <c r="O69" s="203" t="s">
        <v>192</v>
      </c>
      <c r="P69" s="202" t="s">
        <v>177</v>
      </c>
      <c r="Q69" s="194" cm="1">
        <f t="array" aca="1" ref="Q69" ca="1">IF(O69="Y",VLOOKUP(N69,INDIRECT(P$4),4,0)*INDIRECT(N$3),VLOOKUP(N69,INDIRECT(P$4),4,0))</f>
        <v>1.8819000000000006</v>
      </c>
      <c r="R69" s="207" t="str">
        <f t="shared" si="19"/>
        <v>STD</v>
      </c>
      <c r="S69" s="208" t="str">
        <f t="shared" si="19"/>
        <v>Y</v>
      </c>
      <c r="T69" s="207" t="str">
        <f t="shared" si="19"/>
        <v>Perfm 1 Stagehands/Dbl</v>
      </c>
      <c r="U69" s="209"/>
      <c r="V69" s="210">
        <f t="shared" ca="1" si="20"/>
        <v>1.8819999999999999</v>
      </c>
    </row>
    <row r="70" spans="1:22" s="86" customFormat="1" x14ac:dyDescent="0.45">
      <c r="A70" s="84"/>
      <c r="B70" s="84"/>
      <c r="C70" s="84"/>
      <c r="D70" s="84"/>
      <c r="E70" s="84"/>
      <c r="F70" s="84"/>
      <c r="G70" s="84"/>
      <c r="H70" s="84"/>
      <c r="I70" s="84"/>
      <c r="J70" s="84"/>
      <c r="K70" s="84"/>
      <c r="L70" s="84"/>
      <c r="M70" s="84"/>
      <c r="N70" s="202" t="s">
        <v>178</v>
      </c>
      <c r="O70" s="203" t="s">
        <v>192</v>
      </c>
      <c r="P70" s="202" t="s">
        <v>179</v>
      </c>
      <c r="Q70" s="194" cm="1">
        <f t="array" aca="1" ref="Q70" ca="1">IF(O70="Y",VLOOKUP(N70,INDIRECT(P$4),4,0)*INDIRECT(N$3),VLOOKUP(N70,INDIRECT(P$4),4,0))</f>
        <v>1.8819000000000006</v>
      </c>
      <c r="R70" s="207" t="str">
        <f t="shared" si="19"/>
        <v>STG</v>
      </c>
      <c r="S70" s="208" t="str">
        <f t="shared" si="19"/>
        <v>Y</v>
      </c>
      <c r="T70" s="207" t="str">
        <f t="shared" si="19"/>
        <v>Perfm 1 Stagehands</v>
      </c>
      <c r="U70" s="209"/>
      <c r="V70" s="210">
        <f t="shared" ca="1" si="20"/>
        <v>1.8819999999999999</v>
      </c>
    </row>
    <row r="71" spans="1:22" s="86" customFormat="1" x14ac:dyDescent="0.45">
      <c r="A71" s="84"/>
      <c r="B71" s="84"/>
      <c r="C71" s="84"/>
      <c r="D71" s="84"/>
      <c r="E71" s="84"/>
      <c r="F71" s="84"/>
      <c r="G71" s="84"/>
      <c r="H71" s="84"/>
      <c r="I71" s="84"/>
      <c r="J71" s="84"/>
      <c r="K71" s="84"/>
      <c r="L71" s="84"/>
      <c r="M71" s="84"/>
      <c r="N71" s="202" t="s">
        <v>180</v>
      </c>
      <c r="O71" s="203" t="s">
        <v>192</v>
      </c>
      <c r="P71" s="202" t="s">
        <v>181</v>
      </c>
      <c r="Q71" s="194" cm="1">
        <f t="array" aca="1" ref="Q71" ca="1">IF(O71="Y",VLOOKUP(N71,INDIRECT(P$4),4,0)*INDIRECT(N$3),VLOOKUP(N71,INDIRECT(P$4),4,0))</f>
        <v>1.8819000000000006</v>
      </c>
      <c r="R71" s="207" t="str">
        <f t="shared" si="19"/>
        <v>STT</v>
      </c>
      <c r="S71" s="208" t="str">
        <f t="shared" si="19"/>
        <v>Y</v>
      </c>
      <c r="T71" s="207" t="str">
        <f t="shared" si="19"/>
        <v>Perfm 1 Stagehands/1.5</v>
      </c>
      <c r="U71" s="209"/>
      <c r="V71" s="210">
        <f t="shared" ca="1" si="20"/>
        <v>1.8819999999999999</v>
      </c>
    </row>
    <row r="72" spans="1:22" x14ac:dyDescent="0.45">
      <c r="N72" s="187" t="s">
        <v>204</v>
      </c>
      <c r="O72" s="188" t="s">
        <v>192</v>
      </c>
      <c r="P72" s="184" t="s">
        <v>205</v>
      </c>
      <c r="Q72" s="194" cm="1">
        <f t="array" aca="1" ref="Q72" ca="1">IF(O72="Y",VLOOKUP(N72,INDIRECT(P$4),4,0)*INDIRECT(N$3),VLOOKUP(N72,INDIRECT(P$4),4,0))</f>
        <v>19.2620665</v>
      </c>
      <c r="R72" s="207" t="str">
        <f t="shared" ref="R72:R74" si="21">N72</f>
        <v>LRR</v>
      </c>
      <c r="S72" s="208" t="str">
        <f t="shared" ref="S72:S74" si="22">O72</f>
        <v>Y</v>
      </c>
      <c r="T72" s="207" t="str">
        <f t="shared" ref="T72:T74" si="23">P72</f>
        <v>ETCP Lead Rigger- temp</v>
      </c>
      <c r="U72" s="209"/>
      <c r="V72" s="210">
        <f t="shared" ref="V72:V74" ca="1" si="24">ROUND(Q72,3)</f>
        <v>19.262</v>
      </c>
    </row>
    <row r="73" spans="1:22" x14ac:dyDescent="0.45">
      <c r="N73" s="187" t="s">
        <v>206</v>
      </c>
      <c r="O73" s="188" t="s">
        <v>192</v>
      </c>
      <c r="P73" s="184" t="s">
        <v>207</v>
      </c>
      <c r="Q73" s="194" cm="1">
        <f t="array" aca="1" ref="Q73" ca="1">IF(O73="Y",VLOOKUP(N73,INDIRECT(P$4),4,0)*INDIRECT(N$3),VLOOKUP(N73,INDIRECT(P$4),4,0))</f>
        <v>19.2620665</v>
      </c>
      <c r="R73" s="207" t="str">
        <f t="shared" si="21"/>
        <v>LRT</v>
      </c>
      <c r="S73" s="208" t="str">
        <f t="shared" si="22"/>
        <v>Y</v>
      </c>
      <c r="T73" s="207" t="str">
        <f t="shared" si="23"/>
        <v>ETCP Lead Rigger- 1.5</v>
      </c>
      <c r="U73" s="209"/>
      <c r="V73" s="210">
        <f t="shared" ca="1" si="24"/>
        <v>19.262</v>
      </c>
    </row>
    <row r="74" spans="1:22" x14ac:dyDescent="0.45">
      <c r="N74" s="187" t="s">
        <v>208</v>
      </c>
      <c r="O74" s="188" t="s">
        <v>192</v>
      </c>
      <c r="P74" s="184" t="s">
        <v>209</v>
      </c>
      <c r="Q74" s="194" cm="1">
        <f t="array" aca="1" ref="Q74" ca="1">IF(O74="Y",VLOOKUP(N74,INDIRECT(P$4),4,0)*INDIRECT(N$3),VLOOKUP(N74,INDIRECT(P$4),4,0))</f>
        <v>19.2620665</v>
      </c>
      <c r="R74" s="207" t="str">
        <f t="shared" si="21"/>
        <v>LRD</v>
      </c>
      <c r="S74" s="208" t="str">
        <f t="shared" si="22"/>
        <v>Y</v>
      </c>
      <c r="T74" s="207" t="str">
        <f t="shared" si="23"/>
        <v>ETCP Lead Rigger@2</v>
      </c>
      <c r="U74" s="209"/>
      <c r="V74" s="210">
        <f t="shared" ca="1" si="24"/>
        <v>19.262</v>
      </c>
    </row>
  </sheetData>
  <mergeCells count="3">
    <mergeCell ref="A45:J45"/>
    <mergeCell ref="A52:J52"/>
    <mergeCell ref="A56:J56"/>
  </mergeCells>
  <phoneticPr fontId="20" type="noConversion"/>
  <pageMargins left="0.28999999999999998" right="0" top="0.34" bottom="0.25" header="0.19" footer="0.26"/>
  <pageSetup orientation="landscape" r:id="rId1"/>
  <headerFooter alignWithMargins="0">
    <oddFooter>&amp;L&amp;8Last Updated:  &amp;D&amp;R&amp;8Page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27</vt:i4>
      </vt:variant>
    </vt:vector>
  </HeadingPairs>
  <TitlesOfParts>
    <vt:vector size="41" baseType="lpstr">
      <vt:lpstr>Sal Grd proof</vt:lpstr>
      <vt:lpstr>January 1 2017</vt:lpstr>
      <vt:lpstr>January 1 &amp; July 1 2018</vt:lpstr>
      <vt:lpstr>January 1 2019</vt:lpstr>
      <vt:lpstr>2020</vt:lpstr>
      <vt:lpstr>2021</vt:lpstr>
      <vt:lpstr>2022</vt:lpstr>
      <vt:lpstr>2023</vt:lpstr>
      <vt:lpstr>2024</vt:lpstr>
      <vt:lpstr>2025</vt:lpstr>
      <vt:lpstr>2026</vt:lpstr>
      <vt:lpstr>2027</vt:lpstr>
      <vt:lpstr>2028</vt:lpstr>
      <vt:lpstr>Notes</vt:lpstr>
      <vt:lpstr>Incr2020</vt:lpstr>
      <vt:lpstr>Incr2021</vt:lpstr>
      <vt:lpstr>Incr2022</vt:lpstr>
      <vt:lpstr>Incr2023</vt:lpstr>
      <vt:lpstr>Incr2024</vt:lpstr>
      <vt:lpstr>Incr2025</vt:lpstr>
      <vt:lpstr>'2026'!Incr2026</vt:lpstr>
      <vt:lpstr>'2027'!Incr2027</vt:lpstr>
      <vt:lpstr>'2028'!Incr2028</vt:lpstr>
      <vt:lpstr>IncrStageHands2023</vt:lpstr>
      <vt:lpstr>IncrStageHands2024</vt:lpstr>
      <vt:lpstr>IncrStageHands2025</vt:lpstr>
      <vt:lpstr>'2026'!IncrStageHands2026</vt:lpstr>
      <vt:lpstr>'2027'!IncrStageHands2027</vt:lpstr>
      <vt:lpstr>'2028'!IncrStageHands2028</vt:lpstr>
      <vt:lpstr>Jan2021Rates</vt:lpstr>
      <vt:lpstr>January2019</vt:lpstr>
      <vt:lpstr>January2020</vt:lpstr>
      <vt:lpstr>January2021</vt:lpstr>
      <vt:lpstr>'January 1 &amp; July 1 2018'!Print_Area</vt:lpstr>
      <vt:lpstr>'January 1 2017'!Print_Area</vt:lpstr>
      <vt:lpstr>Rates2022</vt:lpstr>
      <vt:lpstr>Rates2023</vt:lpstr>
      <vt:lpstr>Rates2024</vt:lpstr>
      <vt:lpstr>Rates2025</vt:lpstr>
      <vt:lpstr>Rates2026</vt:lpstr>
      <vt:lpstr>Rates2027</vt:lpstr>
    </vt:vector>
  </TitlesOfParts>
  <Manager/>
  <Company>City of Minneapolis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City of Minneapolis Human Resources;Classification &amp; Compensation</dc:creator>
  <cp:keywords/>
  <dc:description/>
  <cp:lastModifiedBy>Kern, Dugan</cp:lastModifiedBy>
  <cp:revision/>
  <dcterms:created xsi:type="dcterms:W3CDTF">2018-08-28T18:18:28Z</dcterms:created>
  <dcterms:modified xsi:type="dcterms:W3CDTF">2026-05-20T20:02:59Z</dcterms:modified>
  <cp:category/>
  <cp:contentStatus/>
</cp:coreProperties>
</file>